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2120" windowHeight="9120" activeTab="1"/>
  </bookViews>
  <sheets>
    <sheet name="Prihodi " sheetId="1" r:id="rId1"/>
    <sheet name="Rashodi" sheetId="2" r:id="rId2"/>
    <sheet name="fplan" sheetId="3" r:id="rId3"/>
    <sheet name="Програми" sheetId="4" r:id="rId4"/>
    <sheet name="pomocni obracuni" sheetId="5" r:id="rId5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<sst xmlns="http://schemas.openxmlformats.org/spreadsheetml/2006/main" count="3041" uniqueCount="1709">
  <si>
    <t xml:space="preserve">Укупно за 5. 8:   Фонд за финансирање талената                                                </t>
  </si>
  <si>
    <t xml:space="preserve">Укупно за 5. 9:   Дом здравља                                               </t>
  </si>
  <si>
    <t xml:space="preserve">Укупно за 5. 10:   Накнаде из буцета за децу и породицу                                               </t>
  </si>
  <si>
    <t xml:space="preserve">укупно </t>
  </si>
  <si>
    <t xml:space="preserve">Укупно за 5. 11:  Канцеларија за децу и младе                                              </t>
  </si>
  <si>
    <t xml:space="preserve">Укупно за 5. 12:  Центар за социјални рад                                          </t>
  </si>
  <si>
    <t>Учешће ОпштПроку.у донацијама уг. Бр.400-320/15-01 комес.за избегл.</t>
  </si>
  <si>
    <t>Учешће ОпштПроку.у донацијама уг. Бр.400-313/15-01 комес.за избегл.</t>
  </si>
  <si>
    <t>Учешће ОпштПроку.у донацијама уг. Бр.400-419/15-01 комес.за избегл.</t>
  </si>
  <si>
    <t xml:space="preserve">Укупно за 5. 13:  Организовање спотрских активности                                       </t>
  </si>
  <si>
    <t xml:space="preserve">Укупно за 5. 14:  Туристичко спотрски центар                                     </t>
  </si>
  <si>
    <t xml:space="preserve">Укупно за 5. 15:  Народни музеј                                   </t>
  </si>
  <si>
    <t xml:space="preserve">Укупно за 5. 16:  Дом културе                               </t>
  </si>
  <si>
    <t xml:space="preserve">Укупно за 5. 17: Народна библиотека                             </t>
  </si>
  <si>
    <t xml:space="preserve">Укупно за 5. 18: Историјски архив                     </t>
  </si>
  <si>
    <t xml:space="preserve">Укупно за 5. 19: ЈП Дирекција за изградњу , урбанизам и стамбене послове                   </t>
  </si>
  <si>
    <t xml:space="preserve">Укупно за 5. 20: ЈП за урбанизам и уређење        </t>
  </si>
  <si>
    <t xml:space="preserve">Укупно за 5. 21: ЈКП  Хамеум  </t>
  </si>
  <si>
    <t>Укупно за 5. 22: Локални акциони лан за запошљавање</t>
  </si>
  <si>
    <t>Укупно за 5. 24: Средства за развој пољопривреде</t>
  </si>
  <si>
    <t>Расходи и издаци буџета за 2016. год. по Одлуци  о буџету општине Прокупље за 2016. годину број 06-61/2015-02 од 30.12.2015.</t>
  </si>
  <si>
    <t>Укупно за 5. 26: Бизнис инкубатор центар</t>
  </si>
  <si>
    <t>Исплата накнада за време одсуствовања с посла-отпремнина</t>
  </si>
  <si>
    <t>472300</t>
  </si>
  <si>
    <t xml:space="preserve">Накнада за соци.заштиту </t>
  </si>
  <si>
    <t xml:space="preserve">Накнада из буџ.за децу и породицу </t>
  </si>
  <si>
    <t>Укупно за 5. 30:Буџетски фонд за заштиту животне средине</t>
  </si>
  <si>
    <t>Укупно за 5. 31:Црвени крст Прокупље</t>
  </si>
  <si>
    <t>Укупно за 5. 32:Удружење оболелих од мишићних и неуромишићних болести топличког округа</t>
  </si>
  <si>
    <t>1115</t>
  </si>
  <si>
    <t>1116</t>
  </si>
  <si>
    <t>1117</t>
  </si>
  <si>
    <t>1118</t>
  </si>
  <si>
    <t>1119</t>
  </si>
  <si>
    <t>1120</t>
  </si>
  <si>
    <t>1121</t>
  </si>
  <si>
    <t>1122</t>
  </si>
  <si>
    <t>1123</t>
  </si>
  <si>
    <t>1124</t>
  </si>
  <si>
    <t>1125</t>
  </si>
  <si>
    <t>1130</t>
  </si>
  <si>
    <t>1131</t>
  </si>
  <si>
    <t>1132</t>
  </si>
  <si>
    <t>1133</t>
  </si>
  <si>
    <t>1134</t>
  </si>
  <si>
    <t>1135</t>
  </si>
  <si>
    <t>1136</t>
  </si>
  <si>
    <t>1137</t>
  </si>
  <si>
    <t>1138</t>
  </si>
  <si>
    <t>1139</t>
  </si>
  <si>
    <t>1140</t>
  </si>
  <si>
    <t>1141</t>
  </si>
  <si>
    <t>1142</t>
  </si>
  <si>
    <t>1143</t>
  </si>
  <si>
    <t>1144</t>
  </si>
  <si>
    <t>1145</t>
  </si>
  <si>
    <t>1146</t>
  </si>
  <si>
    <t>1147</t>
  </si>
  <si>
    <t>1148</t>
  </si>
  <si>
    <t>1149</t>
  </si>
  <si>
    <t>1150</t>
  </si>
  <si>
    <t>1151</t>
  </si>
  <si>
    <t>1152</t>
  </si>
  <si>
    <t>1153</t>
  </si>
  <si>
    <t>1154</t>
  </si>
  <si>
    <t>1157</t>
  </si>
  <si>
    <t>1158</t>
  </si>
  <si>
    <t>1159</t>
  </si>
  <si>
    <t>1160</t>
  </si>
  <si>
    <t>1161</t>
  </si>
  <si>
    <t>1162</t>
  </si>
  <si>
    <t>1163</t>
  </si>
  <si>
    <t>1164</t>
  </si>
  <si>
    <t>1165</t>
  </si>
  <si>
    <t>1166</t>
  </si>
  <si>
    <t>1167</t>
  </si>
  <si>
    <t>1168</t>
  </si>
  <si>
    <t>1169</t>
  </si>
  <si>
    <t>1170</t>
  </si>
  <si>
    <t>1171</t>
  </si>
  <si>
    <t>1172</t>
  </si>
  <si>
    <t>1173</t>
  </si>
  <si>
    <t>1174</t>
  </si>
  <si>
    <t>1175</t>
  </si>
  <si>
    <t>1176</t>
  </si>
  <si>
    <t>1177</t>
  </si>
  <si>
    <t>1178</t>
  </si>
  <si>
    <t>1179</t>
  </si>
  <si>
    <t>1180</t>
  </si>
  <si>
    <t>1181</t>
  </si>
  <si>
    <t>1182</t>
  </si>
  <si>
    <t>1183</t>
  </si>
  <si>
    <t>1184</t>
  </si>
  <si>
    <t>1185</t>
  </si>
  <si>
    <t>1186</t>
  </si>
  <si>
    <t>1191</t>
  </si>
  <si>
    <t>1192</t>
  </si>
  <si>
    <t>1193</t>
  </si>
  <si>
    <t>1194</t>
  </si>
  <si>
    <t>1195</t>
  </si>
  <si>
    <t>1196</t>
  </si>
  <si>
    <t>1197</t>
  </si>
  <si>
    <t>1198</t>
  </si>
  <si>
    <t>1199</t>
  </si>
  <si>
    <t>1200</t>
  </si>
  <si>
    <t>1202</t>
  </si>
  <si>
    <t>1203</t>
  </si>
  <si>
    <t>1204</t>
  </si>
  <si>
    <t>1205</t>
  </si>
  <si>
    <t>1206</t>
  </si>
  <si>
    <t>1207</t>
  </si>
  <si>
    <t>1208</t>
  </si>
  <si>
    <t>1209</t>
  </si>
  <si>
    <t>1210</t>
  </si>
  <si>
    <t>1211</t>
  </si>
  <si>
    <t>1212</t>
  </si>
  <si>
    <t>1213</t>
  </si>
  <si>
    <t>1214</t>
  </si>
  <si>
    <t>1215</t>
  </si>
  <si>
    <t>1216</t>
  </si>
  <si>
    <t>1217</t>
  </si>
  <si>
    <t>1218</t>
  </si>
  <si>
    <t>1219</t>
  </si>
  <si>
    <t>1220</t>
  </si>
  <si>
    <t>1221</t>
  </si>
  <si>
    <t>1222</t>
  </si>
  <si>
    <t>1223</t>
  </si>
  <si>
    <t>1224</t>
  </si>
  <si>
    <t>1225</t>
  </si>
  <si>
    <t>1226</t>
  </si>
  <si>
    <t>1227</t>
  </si>
  <si>
    <t>Проценат извршења буџета у односу на укупни план</t>
  </si>
  <si>
    <t>1228</t>
  </si>
  <si>
    <t>1229</t>
  </si>
  <si>
    <t>1230</t>
  </si>
  <si>
    <t>1231</t>
  </si>
  <si>
    <t>1232</t>
  </si>
  <si>
    <t>1233</t>
  </si>
  <si>
    <t>1234</t>
  </si>
  <si>
    <t>1235</t>
  </si>
  <si>
    <t>1236</t>
  </si>
  <si>
    <t>1237</t>
  </si>
  <si>
    <t>1238</t>
  </si>
  <si>
    <t>1239</t>
  </si>
  <si>
    <t>1240</t>
  </si>
  <si>
    <t>1241</t>
  </si>
  <si>
    <t>1242</t>
  </si>
  <si>
    <t>1243</t>
  </si>
  <si>
    <t>1244</t>
  </si>
  <si>
    <t>1245</t>
  </si>
  <si>
    <t>1250</t>
  </si>
  <si>
    <t>1251</t>
  </si>
  <si>
    <t>1252</t>
  </si>
  <si>
    <t>1253</t>
  </si>
  <si>
    <t>1254</t>
  </si>
  <si>
    <t>1255</t>
  </si>
  <si>
    <t>1256</t>
  </si>
  <si>
    <t>1257</t>
  </si>
  <si>
    <t>1258</t>
  </si>
  <si>
    <t>1259</t>
  </si>
  <si>
    <t>1260</t>
  </si>
  <si>
    <t>1261</t>
  </si>
  <si>
    <t>1262</t>
  </si>
  <si>
    <t>1263</t>
  </si>
  <si>
    <t>1264</t>
  </si>
  <si>
    <t>1265</t>
  </si>
  <si>
    <t>1266</t>
  </si>
  <si>
    <t>1267</t>
  </si>
  <si>
    <t>1268</t>
  </si>
  <si>
    <t>1269</t>
  </si>
  <si>
    <t>1270</t>
  </si>
  <si>
    <t>1271</t>
  </si>
  <si>
    <t>1272</t>
  </si>
  <si>
    <t>1273</t>
  </si>
  <si>
    <t>1274</t>
  </si>
  <si>
    <t>1275</t>
  </si>
  <si>
    <t>1276</t>
  </si>
  <si>
    <t>1277</t>
  </si>
  <si>
    <t>1278</t>
  </si>
  <si>
    <t>Програмска класификација</t>
  </si>
  <si>
    <t>06853</t>
  </si>
  <si>
    <t>70272</t>
  </si>
  <si>
    <t>70273</t>
  </si>
  <si>
    <t>70277</t>
  </si>
  <si>
    <t>70274</t>
  </si>
  <si>
    <t>70275</t>
  </si>
  <si>
    <t>70278</t>
  </si>
  <si>
    <t>70276</t>
  </si>
  <si>
    <t>70279</t>
  </si>
  <si>
    <t>70280</t>
  </si>
  <si>
    <r>
      <t>Пројекат:</t>
    </r>
    <r>
      <rPr>
        <sz val="10"/>
        <rFont val="Times New Roman"/>
        <family val="1"/>
      </rPr>
      <t xml:space="preserve"> Позоришна представа "Мајстор и Маргарита"</t>
    </r>
  </si>
  <si>
    <r>
      <t>Пројекат:</t>
    </r>
    <r>
      <rPr>
        <sz val="10"/>
        <rFont val="Times New Roman"/>
        <family val="1"/>
      </rPr>
      <t xml:space="preserve"> Позоришна представа "Топличко посело"</t>
    </r>
  </si>
  <si>
    <t>Ком.таксе за држ.моторних друм и прик. возила осим пољ.воз. и машина</t>
  </si>
  <si>
    <t>Накнада за промену намене обрадивог пољопривредног земљишта</t>
  </si>
  <si>
    <t>Посебна накнада за зашт. и унапређ. животне средине</t>
  </si>
  <si>
    <t>Комун.такса на фирму</t>
  </si>
  <si>
    <t>Капитални нам.трансфери, у ужем смислу, од Републике у корист нивоа општина</t>
  </si>
  <si>
    <t>Приходи буџета општине од камата на средства консолидованог  рачуна трезора укључена у депозит банака</t>
  </si>
  <si>
    <t>Накнада за коришћење минералних сировина и геотермалних ресурса</t>
  </si>
  <si>
    <t>Накнада за коришћење  грађевинског земљишта</t>
  </si>
  <si>
    <t>Приходи од продаје добара и услуга или закупа од стране тржишних организација у корист нивоа општина</t>
  </si>
  <si>
    <t>Такса за озакоњење објеката у корист нивоа општина</t>
  </si>
  <si>
    <t>Остали  приходи у корист нивоа општине</t>
  </si>
  <si>
    <t>5.</t>
  </si>
  <si>
    <t>Извршење буџета за период 01.01.-30.06.2016. год</t>
  </si>
  <si>
    <t xml:space="preserve">ПОСЕБАН ДЕО -БУЏЕТ           </t>
  </si>
  <si>
    <t>Укупно 1.1:Скупштина општине</t>
  </si>
  <si>
    <t>Функционисање локалне самоуправе и градских општина-Трошкови избора</t>
  </si>
  <si>
    <t>Награде запосленима и остали расходи</t>
  </si>
  <si>
    <t>Извршење буџета за период 01.01. - 30.06.2016. год.</t>
  </si>
  <si>
    <t xml:space="preserve">РАСХОДИ И ИЗДАЦИ - БУЏЕТ               </t>
  </si>
  <si>
    <t>ПРИХОДИ - БУЏЕТ</t>
  </si>
  <si>
    <t>НАРОДНА БИБЛИОТЕКА</t>
  </si>
  <si>
    <t>Материјали за образовање културу и спорт</t>
  </si>
  <si>
    <t>ИСТОРИЈСКИ АРХИВ</t>
  </si>
  <si>
    <t>Материјали за саобраћај</t>
  </si>
  <si>
    <t>ЈП ДИРЕКЦИЈА ЗА ИЗГРАДЊУ, УРБАНИЗАМ И СТАМБЕНЕ ПОСЛОВЕ</t>
  </si>
  <si>
    <t>Текуће субвенције јавним нефинансијским предузећима и организацијама</t>
  </si>
  <si>
    <t>БИЗНИС ИНКУБАТОР ЦЕНТАР</t>
  </si>
  <si>
    <t>Текуће субвенције приватним предузећима</t>
  </si>
  <si>
    <t>БУЏЕТСКИ ФОНД ЗА ЗАШТИТУ ЖИВОТНЕ СРЕДИНЕ</t>
  </si>
  <si>
    <t>6</t>
  </si>
  <si>
    <t>Прање улица</t>
  </si>
  <si>
    <t xml:space="preserve">Чишћење </t>
  </si>
  <si>
    <t>Дотације невладиним организацијама</t>
  </si>
  <si>
    <t>Дотације осталим непрофитним институцијама</t>
  </si>
  <si>
    <t>040</t>
  </si>
  <si>
    <t>I</t>
  </si>
  <si>
    <t>Примања од продаје осталих основних средстава</t>
  </si>
  <si>
    <t>Мареријали за образовање и усавршавање запослених</t>
  </si>
  <si>
    <t>Остали трошкови транспорта</t>
  </si>
  <si>
    <t>Остали трошкови</t>
  </si>
  <si>
    <t>Водоснабдевање</t>
  </si>
  <si>
    <t>Порез на друге приходе</t>
  </si>
  <si>
    <t xml:space="preserve">ЈП ЗА УРБАНИЗАМ И УРЕЂЕЊЕ </t>
  </si>
  <si>
    <t>Медицинске услуге</t>
  </si>
  <si>
    <t>СРЕДСТВА ЗА РАЗВОЈ ПОЉОПРИВРЕДЕ</t>
  </si>
  <si>
    <t>Текуће поправке и одрђавање опреме</t>
  </si>
  <si>
    <t>ДОМ ЗДРАВЉА</t>
  </si>
  <si>
    <t>Новчане казне</t>
  </si>
  <si>
    <t>Одржавање јавних зелених површина</t>
  </si>
  <si>
    <t xml:space="preserve">УНАПРЕЂЕЊЕ САОБРАЋАЈА НА ПУТЕВИМА </t>
  </si>
  <si>
    <t>ОРГАНИ  И СЛУЖБЕ ОПШТИНСКЕ УПРАВЕ</t>
  </si>
  <si>
    <t>Извршни и законодавни орани</t>
  </si>
  <si>
    <t>Опште јавне услуге некласификоване на другом месту</t>
  </si>
  <si>
    <t>Основно образовање</t>
  </si>
  <si>
    <t>Предшколско образовање</t>
  </si>
  <si>
    <t>Образовање некласификовано на другом месту</t>
  </si>
  <si>
    <t>Здравство некласификовано на другом месту</t>
  </si>
  <si>
    <t>Социјална помоћ угроженом становништву, некласификована на другом месту</t>
  </si>
  <si>
    <t>Улуге културе</t>
  </si>
  <si>
    <t>Пољопривреда</t>
  </si>
  <si>
    <t>Туризам</t>
  </si>
  <si>
    <t>Економски послови некласификовани на другом месту</t>
  </si>
  <si>
    <t>ОСНОВНО ОБРАЗОВАЊЕ</t>
  </si>
  <si>
    <t>СРЕДЊЕ ОБРАЗОВАЊЕ</t>
  </si>
  <si>
    <t>МЕСНЕ ЗАЈЕДНИЦЕ</t>
  </si>
  <si>
    <t>Сопствена и друга средства</t>
  </si>
  <si>
    <t>Материјал за посебне намене</t>
  </si>
  <si>
    <t>1</t>
  </si>
  <si>
    <t>2</t>
  </si>
  <si>
    <t>7</t>
  </si>
  <si>
    <t>8</t>
  </si>
  <si>
    <t>Еконoмска класификација</t>
  </si>
  <si>
    <t>О п и с</t>
  </si>
  <si>
    <t>3+7+8+9</t>
  </si>
  <si>
    <t xml:space="preserve">УКУПНА ПРИМАЊА И СУФИЦИТ </t>
  </si>
  <si>
    <t>Вишак прихода и примања - суфицит</t>
  </si>
  <si>
    <t>УКУПНО ПРИМАЊА</t>
  </si>
  <si>
    <t xml:space="preserve">ТЕКУЋИ ПРИХОДИ </t>
  </si>
  <si>
    <t>1.</t>
  </si>
  <si>
    <t>Самодоприноси</t>
  </si>
  <si>
    <t>Порез на фонд зарада</t>
  </si>
  <si>
    <t>Порез на фонд зарада осталих запослених</t>
  </si>
  <si>
    <t>2.</t>
  </si>
  <si>
    <t>3.</t>
  </si>
  <si>
    <t>Накнада за друмска моторна возила,тракторе</t>
  </si>
  <si>
    <t>4.</t>
  </si>
  <si>
    <t>Други порези које искљ.плаћа пред.односно пред.</t>
  </si>
  <si>
    <t>6.</t>
  </si>
  <si>
    <t>Tекући трансфери других нивоа власти</t>
  </si>
  <si>
    <t>Текући трансфери од других нивоа власти у корист Општине</t>
  </si>
  <si>
    <t>Текући наменски трансфери од Републике у корист нивоа општине</t>
  </si>
  <si>
    <t>7.</t>
  </si>
  <si>
    <t>8.</t>
  </si>
  <si>
    <t>9.</t>
  </si>
  <si>
    <t xml:space="preserve">Приходи од новчаних казни за саобраћајне прекршаје </t>
  </si>
  <si>
    <t>Новчане казне изречене у прекрш. поступку</t>
  </si>
  <si>
    <t>10.</t>
  </si>
  <si>
    <t>11.</t>
  </si>
  <si>
    <t>Извршење буџета за период 01.01 - 30.06.2016.год.</t>
  </si>
  <si>
    <t>Примања од продаје осталих основних средстава у корист нивоа општине</t>
  </si>
  <si>
    <t>Примање од задуживања и продаје финансијске имовине</t>
  </si>
  <si>
    <t>451100</t>
  </si>
  <si>
    <t>512900</t>
  </si>
  <si>
    <t>9</t>
  </si>
  <si>
    <t>10</t>
  </si>
  <si>
    <t>11</t>
  </si>
  <si>
    <t>12</t>
  </si>
  <si>
    <t>14</t>
  </si>
  <si>
    <t>15</t>
  </si>
  <si>
    <t>18</t>
  </si>
  <si>
    <t>ОПШТИНСКА УПРАВА</t>
  </si>
  <si>
    <t>Економска класификација</t>
  </si>
  <si>
    <t>II</t>
  </si>
  <si>
    <t>III</t>
  </si>
  <si>
    <t>Примања од продаје нефинансијске имовине</t>
  </si>
  <si>
    <t>Донације, дотације и трансфери</t>
  </si>
  <si>
    <t>СКУПШТИНА ОПШТИНЕ</t>
  </si>
  <si>
    <t>ПРЕДСЕДНИК ОПШТИНЕ</t>
  </si>
  <si>
    <t>ОПШТИНСКО ВЕЋЕ</t>
  </si>
  <si>
    <t>Хватање паса луталица</t>
  </si>
  <si>
    <t>Услуге очувања животне средине, науке и геодетске услуге-уређење реке топлице</t>
  </si>
  <si>
    <t>Куповина војног моста "Бејли"</t>
  </si>
  <si>
    <t xml:space="preserve">Набавка земљишта које се налази испод зграда и објеката                                                              </t>
  </si>
  <si>
    <t>7 (6/5)</t>
  </si>
  <si>
    <t>8 (6/4)</t>
  </si>
  <si>
    <t>Откуп војног земљишта за водосистем Хисар</t>
  </si>
  <si>
    <t xml:space="preserve">Зимско одржавање улица </t>
  </si>
  <si>
    <t>Посланички додатак</t>
  </si>
  <si>
    <t>Судови</t>
  </si>
  <si>
    <t>3</t>
  </si>
  <si>
    <t>13</t>
  </si>
  <si>
    <t>16</t>
  </si>
  <si>
    <t>17</t>
  </si>
  <si>
    <t>ЛОКАЛНИ АКЦИОНИ ПЛАН ЗА ЗАПОШЉАВАЊЕ</t>
  </si>
  <si>
    <t>Општи послови по питању рада</t>
  </si>
  <si>
    <t>Капиталне субвенције јавним нефинансијским предузећима и организацијама</t>
  </si>
  <si>
    <t>412</t>
  </si>
  <si>
    <t>Уређење пољских путева</t>
  </si>
  <si>
    <t>Уређење речних корита на водама другог реда</t>
  </si>
  <si>
    <t>Нкнада стрелцима противградне заштите</t>
  </si>
  <si>
    <t>Допринос за уређивање грађевинског земљишта</t>
  </si>
  <si>
    <t>Накнаде штете за повреде или штету насталу услед елементарних непогода</t>
  </si>
  <si>
    <t>Остали порези</t>
  </si>
  <si>
    <t>Адаптација противградних станица</t>
  </si>
  <si>
    <t>Проце-нат изврше-ња буџета у односу на план за 3 месеца</t>
  </si>
  <si>
    <t xml:space="preserve">Накнада штете за повреде или штету насталу улсед елементарних непогода </t>
  </si>
  <si>
    <t>Примања од задуживања од пословних банака у земљи</t>
  </si>
  <si>
    <t>7+8+9</t>
  </si>
  <si>
    <t xml:space="preserve">Ребаланс </t>
  </si>
  <si>
    <t>Надзор над извођењем радова на водоводној мрежи</t>
  </si>
  <si>
    <t>01</t>
  </si>
  <si>
    <t>Накнада за коришћење шумског и пољопривредног земљишта</t>
  </si>
  <si>
    <t>Комунална такса за коришћење простора на јавним површинама</t>
  </si>
  <si>
    <t>Сливна водна накнада од правних лица</t>
  </si>
  <si>
    <t>Одржавање вертикалне сигнализације</t>
  </si>
  <si>
    <t>Одржавање хоризонталне сигнализације</t>
  </si>
  <si>
    <t>Накнада за уређивање грађевинског земљишта</t>
  </si>
  <si>
    <t>Добровољни трансфери од физичких и правних лица</t>
  </si>
  <si>
    <t>Текући добровољни трансфери у корист општина</t>
  </si>
  <si>
    <t>Примања од продаје земљишта</t>
  </si>
  <si>
    <t>Примања од продаје земљишта у корист нивоа општина</t>
  </si>
  <si>
    <t>482000</t>
  </si>
  <si>
    <t>Израда плана детаљне регулације "Градско гробље"</t>
  </si>
  <si>
    <t>План генералне регулације Општине Прокупље-завод за урбанизам</t>
  </si>
  <si>
    <t>Рачунарска опрема</t>
  </si>
  <si>
    <t>512211</t>
  </si>
  <si>
    <t>512220</t>
  </si>
  <si>
    <t>Намештај</t>
  </si>
  <si>
    <t xml:space="preserve">КАНЦЕЛАРИЈА ЗА ДЕЦУ И МЛАДЕ </t>
  </si>
  <si>
    <t>424000</t>
  </si>
  <si>
    <t>424300</t>
  </si>
  <si>
    <t>511000</t>
  </si>
  <si>
    <t>414000</t>
  </si>
  <si>
    <t>414300</t>
  </si>
  <si>
    <t>средње школе</t>
  </si>
  <si>
    <t>основне школе</t>
  </si>
  <si>
    <t>481000</t>
  </si>
  <si>
    <t>423200</t>
  </si>
  <si>
    <t>423500</t>
  </si>
  <si>
    <t>482100</t>
  </si>
  <si>
    <t>482200</t>
  </si>
  <si>
    <t>482</t>
  </si>
  <si>
    <t>463</t>
  </si>
  <si>
    <t>водовод</t>
  </si>
  <si>
    <t>дирекција</t>
  </si>
  <si>
    <t>дом здравља</t>
  </si>
  <si>
    <t>невен</t>
  </si>
  <si>
    <t>472</t>
  </si>
  <si>
    <t>481</t>
  </si>
  <si>
    <t>465000</t>
  </si>
  <si>
    <t>465100</t>
  </si>
  <si>
    <t>Остале текуће дотације и трансфери</t>
  </si>
  <si>
    <t>Остале дотације и трансфери</t>
  </si>
  <si>
    <t>извршење основне школе</t>
  </si>
  <si>
    <t>извршење средње школе</t>
  </si>
  <si>
    <t>скупштина</t>
  </si>
  <si>
    <t>председник</t>
  </si>
  <si>
    <t>општинска управа</t>
  </si>
  <si>
    <t>ссмз</t>
  </si>
  <si>
    <t>унапређ.саобраћаја</t>
  </si>
  <si>
    <t>основно образ</t>
  </si>
  <si>
    <t>средње образ</t>
  </si>
  <si>
    <t xml:space="preserve">раднички </t>
  </si>
  <si>
    <t>фонд за тал</t>
  </si>
  <si>
    <t>нак.за децу</t>
  </si>
  <si>
    <t>канц.за децу и младе</t>
  </si>
  <si>
    <t>спорт</t>
  </si>
  <si>
    <t>тсц</t>
  </si>
  <si>
    <t>музеј</t>
  </si>
  <si>
    <t>дом културе</t>
  </si>
  <si>
    <t>библиотека</t>
  </si>
  <si>
    <t>архив</t>
  </si>
  <si>
    <t>јп за урбанизам</t>
  </si>
  <si>
    <t>лок.пл.за запош.</t>
  </si>
  <si>
    <t>фонд за сточар.</t>
  </si>
  <si>
    <t>пољопривреда</t>
  </si>
  <si>
    <t>ТОП</t>
  </si>
  <si>
    <t>бизнис инкубатор</t>
  </si>
  <si>
    <t>тржница</t>
  </si>
  <si>
    <t>чистоћа</t>
  </si>
  <si>
    <t>јп ЈЖС</t>
  </si>
  <si>
    <t>правобранилац</t>
  </si>
  <si>
    <t>веће</t>
  </si>
  <si>
    <t>центар за соц.рад</t>
  </si>
  <si>
    <t>буџетски фонд за ж.с.</t>
  </si>
  <si>
    <t>из буџета</t>
  </si>
  <si>
    <t>соп. и др.сред.</t>
  </si>
  <si>
    <t>корисник</t>
  </si>
  <si>
    <t>укупни расходи и издаци</t>
  </si>
  <si>
    <t>укупно</t>
  </si>
  <si>
    <t>УКУПНО</t>
  </si>
  <si>
    <t>4+5</t>
  </si>
  <si>
    <t>КОРИСНИЦИ</t>
  </si>
  <si>
    <t>Укупан број радника на неодређено време</t>
  </si>
  <si>
    <t>Укупан број радника на одређено време</t>
  </si>
  <si>
    <t>Општинска управа</t>
  </si>
  <si>
    <t>СС месних заједница</t>
  </si>
  <si>
    <t>Фонд за сточарство</t>
  </si>
  <si>
    <t>Историјски архив</t>
  </si>
  <si>
    <t>Народни музеј</t>
  </si>
  <si>
    <t>Дом културе</t>
  </si>
  <si>
    <t>Народна библиотека</t>
  </si>
  <si>
    <t>Туристичка организација</t>
  </si>
  <si>
    <t>Туристичко спортски центар</t>
  </si>
  <si>
    <t>А. РАЧУН ПРИХОДА И ПРИМАЊА, РАСХОДА И ИЗДАТАКА</t>
  </si>
  <si>
    <t>у динарима</t>
  </si>
  <si>
    <t>1. Укупни приходи и примања остварена по основу продаје нефинансијске имовине (кл.7+8)</t>
  </si>
  <si>
    <t>2. Укупни расходи и издаци за набавку нефинансијске имовине (класа 4+5)</t>
  </si>
  <si>
    <t>3. Буџетски суфицит/дефицит (кл.7+8) - (кл.4+5)</t>
  </si>
  <si>
    <t>ОПШТИНСКИ ПРАВОБРАНИЛАЦ</t>
  </si>
  <si>
    <t>ПРОГРАМ 3: Локални економски развој</t>
  </si>
  <si>
    <t>ПРОГРАМ 4: Развој туризма</t>
  </si>
  <si>
    <t>Укупно за 5. 5:Средње образовање</t>
  </si>
  <si>
    <t>КУЛТУРНО ОБРАЗОВНИ ЦЕНТАР ТОПЛИЦА</t>
  </si>
  <si>
    <t>411000</t>
  </si>
  <si>
    <t>412000</t>
  </si>
  <si>
    <t>411100</t>
  </si>
  <si>
    <t>Плате, додаци и накнаде запослених</t>
  </si>
  <si>
    <t>412100</t>
  </si>
  <si>
    <t>412200</t>
  </si>
  <si>
    <t>412300</t>
  </si>
  <si>
    <t>415000</t>
  </si>
  <si>
    <t>415100</t>
  </si>
  <si>
    <t>416000</t>
  </si>
  <si>
    <t>416100</t>
  </si>
  <si>
    <t>421100</t>
  </si>
  <si>
    <t>421400</t>
  </si>
  <si>
    <t>421500</t>
  </si>
  <si>
    <t>423000</t>
  </si>
  <si>
    <t>423300</t>
  </si>
  <si>
    <t>424200</t>
  </si>
  <si>
    <t>426000</t>
  </si>
  <si>
    <t>426100</t>
  </si>
  <si>
    <t>426800</t>
  </si>
  <si>
    <t xml:space="preserve">Укупно за 5. 6:Предшколска установа Невен                                                       </t>
  </si>
  <si>
    <t>ПРОГРАМ 5: Развој пољопривреде</t>
  </si>
  <si>
    <t>ПРОГРАМ 6: Заштита животне средине</t>
  </si>
  <si>
    <t>ПРОГРАМ 7: Путна инфраструктура</t>
  </si>
  <si>
    <t xml:space="preserve">Зграде и грађевински објекти </t>
  </si>
  <si>
    <t>капитално одржавање зграда и објеката</t>
  </si>
  <si>
    <r>
      <t xml:space="preserve">Пројекат: </t>
    </r>
    <r>
      <rPr>
        <b/>
        <sz val="10"/>
        <color indexed="8"/>
        <rFont val="Times New Roman"/>
        <family val="1"/>
      </rPr>
      <t xml:space="preserve"> 70 год Народног музеја</t>
    </r>
  </si>
  <si>
    <t>Пројекат: Стара архитектура Прокупља</t>
  </si>
  <si>
    <t>Трошкови закупа</t>
  </si>
  <si>
    <t>Пројекат: Позоришна представа "На вечерњој сцени"</t>
  </si>
  <si>
    <t xml:space="preserve">Пројекат: Прокупачки фестивал кратког филма </t>
  </si>
  <si>
    <t>Пројекат: Топличко посело</t>
  </si>
  <si>
    <t>Свега за пројекат 1201-П6:</t>
  </si>
  <si>
    <t>ПРОГРАМ 8: Предшколско васпитање</t>
  </si>
  <si>
    <t>ПРОГРАМ 9: Основно образовање</t>
  </si>
  <si>
    <t>ПРОГРАМ 10: Средње образовање</t>
  </si>
  <si>
    <t>ПРОГРАМ 11: Социјална и дечја заштита</t>
  </si>
  <si>
    <t>ПРОГРАМ 12:Примарна здравствена заштита</t>
  </si>
  <si>
    <t>ПРОГРАМ 13: Развој културе</t>
  </si>
  <si>
    <t>ПРОГРАМ 14: Развој спорта и омладине</t>
  </si>
  <si>
    <t>ПРОГРАМ 15: Локална самоуправа</t>
  </si>
  <si>
    <t>ПРОГРАМ 2: Комунална делатност</t>
  </si>
  <si>
    <t>ПРОГРАМ 1: Локални развој и просторно планирање</t>
  </si>
  <si>
    <t>1501-0002</t>
  </si>
  <si>
    <t>1501-0003</t>
  </si>
  <si>
    <t>0101-0003</t>
  </si>
  <si>
    <t>0401-0002</t>
  </si>
  <si>
    <t>0401-0003</t>
  </si>
  <si>
    <t>0401-0004</t>
  </si>
  <si>
    <t>0901-0003</t>
  </si>
  <si>
    <t>0901-0004</t>
  </si>
  <si>
    <t>0602-0007</t>
  </si>
  <si>
    <t>0602-0010</t>
  </si>
  <si>
    <t>423100</t>
  </si>
  <si>
    <t>Свега за програмску активност 1501-0005:</t>
  </si>
  <si>
    <t>1201-П4</t>
  </si>
  <si>
    <t>1201-П5</t>
  </si>
  <si>
    <t>1201-П6</t>
  </si>
  <si>
    <t>1201-П7</t>
  </si>
  <si>
    <r>
      <t xml:space="preserve">Пројекат:  </t>
    </r>
    <r>
      <rPr>
        <b/>
        <sz val="10"/>
        <color indexed="8"/>
        <rFont val="Times New Roman"/>
        <family val="1"/>
      </rPr>
      <t>Прослава Општинске славе СВ Прокопије</t>
    </r>
  </si>
  <si>
    <t>УКУПНО ЗА ПРОГРАМЕ, ПРОГРАМСКЕ АКТИВНОСТИ И ПРОЈЕКТЕ</t>
  </si>
  <si>
    <t>Машине и порема</t>
  </si>
  <si>
    <t xml:space="preserve">Уградна опрема </t>
  </si>
  <si>
    <r>
      <t xml:space="preserve">Пројекат: </t>
    </r>
    <r>
      <rPr>
        <sz val="10"/>
        <color indexed="8"/>
        <rFont val="Times New Roman"/>
        <family val="1"/>
      </rPr>
      <t xml:space="preserve"> Прокупље у социјалистичкој Југославији</t>
    </r>
  </si>
  <si>
    <r>
      <t xml:space="preserve">Пројекат: </t>
    </r>
    <r>
      <rPr>
        <sz val="10"/>
        <color indexed="8"/>
        <rFont val="Times New Roman"/>
        <family val="1"/>
      </rPr>
      <t xml:space="preserve"> Витезови Карађорђеве звезде са мачевима</t>
    </r>
  </si>
  <si>
    <r>
      <t xml:space="preserve">Пројекат: </t>
    </r>
    <r>
      <rPr>
        <sz val="10"/>
        <color indexed="8"/>
        <rFont val="Times New Roman"/>
        <family val="1"/>
      </rPr>
      <t xml:space="preserve"> Поставка у Плочнику</t>
    </r>
  </si>
  <si>
    <r>
      <t>Пројекат:</t>
    </r>
    <r>
      <rPr>
        <sz val="10"/>
        <rFont val="Times New Roman"/>
        <family val="1"/>
      </rPr>
      <t xml:space="preserve"> Драинчеви сусрети и Лектирићи фест</t>
    </r>
  </si>
  <si>
    <r>
      <t>Пројекат:</t>
    </r>
    <r>
      <rPr>
        <sz val="10"/>
        <rFont val="Times New Roman"/>
        <family val="1"/>
      </rPr>
      <t xml:space="preserve">  Прослава Општинске славе СВ Прокопије</t>
    </r>
  </si>
  <si>
    <t>Издаци за набавку финансијске имовине ( у циљу спровођења јавних политика)</t>
  </si>
  <si>
    <t>Укупан фискални суфицит/дефицит</t>
  </si>
  <si>
    <t>Б. РАЧУН ФИНАНСИРАЊА</t>
  </si>
  <si>
    <t>Примања од продаје финансијске имовине и задуживања</t>
  </si>
  <si>
    <t>Неутрошена средства из претходних година</t>
  </si>
  <si>
    <t>Издаци за набавку финансијске имовине и отплату главнице дуга</t>
  </si>
  <si>
    <t>НЕТО ФИНАНСИРАЊЕ</t>
  </si>
  <si>
    <t>472000</t>
  </si>
  <si>
    <t>Услуге процене вредности капитала</t>
  </si>
  <si>
    <t>541100</t>
  </si>
  <si>
    <t>541000</t>
  </si>
  <si>
    <t>541</t>
  </si>
  <si>
    <t>Функционисање локалне самоуправе и градских општина</t>
  </si>
  <si>
    <t>ПРОГРАМ 15: ЛОКАЛНА САМОУПРАВА</t>
  </si>
  <si>
    <t>0602</t>
  </si>
  <si>
    <t>0602-0001</t>
  </si>
  <si>
    <t>Свега за програмску активност 0602-0001:</t>
  </si>
  <si>
    <t>0602-0003</t>
  </si>
  <si>
    <t>Управљање јавним дугом</t>
  </si>
  <si>
    <t>170</t>
  </si>
  <si>
    <t>Трансакције везане за јавни дуг</t>
  </si>
  <si>
    <t xml:space="preserve">Услуге информисања                                                                     </t>
  </si>
  <si>
    <t>Изградња објеката за расељена лица</t>
  </si>
  <si>
    <t>Свега за програмску активност 0602-0003:</t>
  </si>
  <si>
    <t>0602-0004</t>
  </si>
  <si>
    <t>Oпштинско јавно правобранилаштво</t>
  </si>
  <si>
    <t>0602-0002</t>
  </si>
  <si>
    <t xml:space="preserve"> Месне заједнице</t>
  </si>
  <si>
    <t>ПРОГРАМ 9: ОСНОВНО ОБРАЗОВАЊЕ</t>
  </si>
  <si>
    <t>Функционисање основних школа</t>
  </si>
  <si>
    <t>2002</t>
  </si>
  <si>
    <t>2002-0001</t>
  </si>
  <si>
    <t>Извори финансирања за Програм 9:</t>
  </si>
  <si>
    <t>Свега за Програм 9:</t>
  </si>
  <si>
    <t>ПРОГРАМ 10: СРЕДЊЕ ОБРАЗОВАЊЕ</t>
  </si>
  <si>
    <t>2003</t>
  </si>
  <si>
    <t>2003-0001</t>
  </si>
  <si>
    <t>Функционисање средњих школа</t>
  </si>
  <si>
    <t>ПРОГРАМ 8: ПРЕДШКОЛСКО ВАСПИТАЊЕ</t>
  </si>
  <si>
    <t>2001</t>
  </si>
  <si>
    <t>2001-0001</t>
  </si>
  <si>
    <t>Свега за порограмску активност 0701-0002</t>
  </si>
  <si>
    <t>Функционисање предшколских установа</t>
  </si>
  <si>
    <t>ПРОГРАМ 12: ПРИМАРНА ЗДРАВСТВЕНА ЗАШТИТА</t>
  </si>
  <si>
    <t>1801</t>
  </si>
  <si>
    <t>1801-0001</t>
  </si>
  <si>
    <t>Функционисање установа примарне здравствене заштите</t>
  </si>
  <si>
    <t>ПРОГРАМ 11: СОЦИЈАЛНА И ДЕЧИЈА ЗАШТИТА</t>
  </si>
  <si>
    <t>0901</t>
  </si>
  <si>
    <t>0901-0001</t>
  </si>
  <si>
    <t>0901-0006</t>
  </si>
  <si>
    <t>Дечија заштита</t>
  </si>
  <si>
    <t>Намена</t>
  </si>
  <si>
    <t>Н</t>
  </si>
  <si>
    <t>НАЗИВ ПРОГРАМА</t>
  </si>
  <si>
    <t>Свега за Програм 11:</t>
  </si>
  <si>
    <t>Социјалне помоћи</t>
  </si>
  <si>
    <t>ПРОГРАМ 14: РАЗВОЈ СПОРТА И ОМЛАДИНЕ</t>
  </si>
  <si>
    <t>1301</t>
  </si>
  <si>
    <t>1301-0001</t>
  </si>
  <si>
    <t>Подршка локалним спортским организацијама, удружењима и савезима</t>
  </si>
  <si>
    <t>ПРОГРАМ 1: ЛОКАЛНИ РАЗВОЈ И ПРОСТОРНО ПЛАНИРАЊЕ</t>
  </si>
  <si>
    <t>421600</t>
  </si>
  <si>
    <t>ПРОГРАМ 2:  КОМУНАЛНА ДЕЛАТНОСТ</t>
  </si>
  <si>
    <t>Улична расвета</t>
  </si>
  <si>
    <t xml:space="preserve">Укупно за 5. 7:   Културно образовни центар                                               </t>
  </si>
  <si>
    <t>ПРОГРАМ 7:  ПУТНА ИНФРАСТРУКТУРА</t>
  </si>
  <si>
    <t>Друмски саобраћај</t>
  </si>
  <si>
    <t xml:space="preserve">Остали порези                                                                     </t>
  </si>
  <si>
    <t>ЦРВЕНИ КРСТ ПРОКУПЉЕ</t>
  </si>
  <si>
    <t>ПРОГРАМ 11: СОЦИЈАЛНА И ДЕЧЈА ЗАШТИТА</t>
  </si>
  <si>
    <t>481900</t>
  </si>
  <si>
    <t>Свега за програмску активност 0901-0005:</t>
  </si>
  <si>
    <t>УДРУЖЕЊЕ ОБОЛЕЛИХ ОД МИШИЋНИХ И НЕУРО-МИШИЋНИХ БОЛЕСТИ ТОПЛИЧКОГ ОКРУГА</t>
  </si>
  <si>
    <t>Свега за програмску активност 0901-0002:</t>
  </si>
  <si>
    <t>Свега за РАЗДЕО 5:</t>
  </si>
  <si>
    <t xml:space="preserve">Услуге очувања животне средине, науке и геодетске услуге                                                               </t>
  </si>
  <si>
    <t xml:space="preserve">Новчане казне и пенали по решењу судова                                                                </t>
  </si>
  <si>
    <r>
      <t xml:space="preserve">ЦЕНТАР ЗА СОЦИЈАЛНИ РАД </t>
    </r>
    <r>
      <rPr>
        <b/>
        <i/>
        <sz val="10"/>
        <rFont val="Times New Roman"/>
        <family val="1"/>
      </rPr>
      <t>"</t>
    </r>
    <r>
      <rPr>
        <b/>
        <i/>
        <sz val="10"/>
        <rFont val="Small Fonts"/>
        <family val="2"/>
      </rPr>
      <t>ТОПЛИЦА</t>
    </r>
    <r>
      <rPr>
        <b/>
        <i/>
        <sz val="10"/>
        <rFont val="Times New Roman"/>
        <family val="1"/>
      </rPr>
      <t>"</t>
    </r>
  </si>
  <si>
    <t>Свега за програмску активност 1301-0002:</t>
  </si>
  <si>
    <t>426600</t>
  </si>
  <si>
    <t>Материјал за образовање, културу и спорт</t>
  </si>
  <si>
    <t>426900</t>
  </si>
  <si>
    <t>482300</t>
  </si>
  <si>
    <t>Пројекат бр. 1</t>
  </si>
  <si>
    <t>Рурални развој</t>
  </si>
  <si>
    <t>61</t>
  </si>
  <si>
    <t>63</t>
  </si>
  <si>
    <t xml:space="preserve">Прихватилишта, прихватне станице и друге врсте смештаја </t>
  </si>
  <si>
    <t>Дечја заштита</t>
  </si>
  <si>
    <t>421000</t>
  </si>
  <si>
    <t>421200</t>
  </si>
  <si>
    <t>421300</t>
  </si>
  <si>
    <t>425000</t>
  </si>
  <si>
    <t>425100</t>
  </si>
  <si>
    <t>Свега за програмску активност 1301-0003:</t>
  </si>
  <si>
    <t>422300</t>
  </si>
  <si>
    <t xml:space="preserve">Трошкови путовања у оквиру редовног рада                                                                 </t>
  </si>
  <si>
    <t>424900</t>
  </si>
  <si>
    <t>472700</t>
  </si>
  <si>
    <t>483100</t>
  </si>
  <si>
    <t>424600</t>
  </si>
  <si>
    <t>512000</t>
  </si>
  <si>
    <t>425200</t>
  </si>
  <si>
    <t>483000</t>
  </si>
  <si>
    <t>451000</t>
  </si>
  <si>
    <t>423400</t>
  </si>
  <si>
    <t>Свега за програмску активност 0701-0001:</t>
  </si>
  <si>
    <t>423600</t>
  </si>
  <si>
    <t>Свега за програмску активност 1101-0002 :</t>
  </si>
  <si>
    <t>Свега за Програм 1:</t>
  </si>
  <si>
    <t>640</t>
  </si>
  <si>
    <t>Свега за програмску активност 0601-0010 :</t>
  </si>
  <si>
    <t>451</t>
  </si>
  <si>
    <t>0602-П1</t>
  </si>
  <si>
    <t>Свега за програмску активност 0602-П1:</t>
  </si>
  <si>
    <t>Стручне услуге - институт за јавно здравље</t>
  </si>
  <si>
    <t xml:space="preserve">Остале специјализоване услуге                                                                    </t>
  </si>
  <si>
    <t>426300</t>
  </si>
  <si>
    <t>Унапређење услова за пољопривредну делатност</t>
  </si>
  <si>
    <t xml:space="preserve">Субвенције приватним предузећима </t>
  </si>
  <si>
    <t>Свега за програмску активност 0101-0001:</t>
  </si>
  <si>
    <t>Свега за програмску активност 1201-0002:</t>
  </si>
  <si>
    <t>Свега за пројекат 1201-П1:</t>
  </si>
  <si>
    <t>Свега за пројекат 1201-П2:</t>
  </si>
  <si>
    <t>Свега за пројекат П-1:</t>
  </si>
  <si>
    <r>
      <t>Пројекат:</t>
    </r>
    <r>
      <rPr>
        <b/>
        <sz val="10"/>
        <rFont val="Times New Roman"/>
        <family val="1"/>
      </rPr>
      <t xml:space="preserve"> Драинчеви сусрети и Лектирићи фест</t>
    </r>
  </si>
  <si>
    <t>Свега за програм 1201-П1:</t>
  </si>
  <si>
    <t>Свега за програм 1201-П2:</t>
  </si>
  <si>
    <t>1201-П3</t>
  </si>
  <si>
    <t>Дотације организацијама обав.соц. Осигурања</t>
  </si>
  <si>
    <t>464000</t>
  </si>
  <si>
    <t>ПРОГРАМ 13: РАЗВОЈ КУЛТУРЕ</t>
  </si>
  <si>
    <t>Функционисање локалних установа културе</t>
  </si>
  <si>
    <t>1201</t>
  </si>
  <si>
    <t>1201-0001</t>
  </si>
  <si>
    <t>Накнада штете због ванредне ситуације</t>
  </si>
  <si>
    <t>Свега за програмску активност 1201-0001:</t>
  </si>
  <si>
    <t>Укупно 2.1:Председник општине</t>
  </si>
  <si>
    <t>Укупно 3.1:Општинско веће</t>
  </si>
  <si>
    <t>Укупно 4.1:Општински правобранилац</t>
  </si>
  <si>
    <t>Укупно 5.3:Унапређење саобраћаја на путевима</t>
  </si>
  <si>
    <t>Укупно за 5. 4:Основно образовање</t>
  </si>
  <si>
    <t>ПРОГРАМ 2: КОМУНАЛНА ДЕЛАТНОСТ</t>
  </si>
  <si>
    <t>0601</t>
  </si>
  <si>
    <t>0601-0001</t>
  </si>
  <si>
    <t>Свега за програмску активност 0601-0001 :</t>
  </si>
  <si>
    <t>Свега за Програм 2:</t>
  </si>
  <si>
    <t>ПРОГРАМ 3: ЛОКАЛНИ ЕКОНОМСКИ РАЗВОЈ</t>
  </si>
  <si>
    <t>1501</t>
  </si>
  <si>
    <t>1501-0001</t>
  </si>
  <si>
    <t>Подршка постојећој привреди</t>
  </si>
  <si>
    <t>Свега за Програм 3:</t>
  </si>
  <si>
    <t>0101</t>
  </si>
  <si>
    <t>0101-0001</t>
  </si>
  <si>
    <t>ПРОГРАМ 5: РАЗВОЈ ПОЉОПРИВРЕДЕ</t>
  </si>
  <si>
    <t>0101-0002</t>
  </si>
  <si>
    <t>Подстицаји пољопривредној производњи</t>
  </si>
  <si>
    <t>Свега за програмску активност 0101-0002:</t>
  </si>
  <si>
    <t>Свега за програмску активност 1501-0001:</t>
  </si>
  <si>
    <t>1502</t>
  </si>
  <si>
    <t>1502-0001</t>
  </si>
  <si>
    <t>Управљање развојем туризма</t>
  </si>
  <si>
    <t>0601-0011</t>
  </si>
  <si>
    <t>Одржавање гробаља и погребне услуге</t>
  </si>
  <si>
    <t>ПРОГРАМ 6: ЗАШТИТА ЖИВОТНЕ СРЕДИНЕ</t>
  </si>
  <si>
    <t>Управљање заштитом животне средине и природних вредности</t>
  </si>
  <si>
    <t>0401</t>
  </si>
  <si>
    <t>0401-0001</t>
  </si>
  <si>
    <t>Свега за програмску активност 0401-0001:</t>
  </si>
  <si>
    <t>Буџет</t>
  </si>
  <si>
    <t>511300</t>
  </si>
  <si>
    <t>►ОСНОВНА ШКОЛА "РАТКО ПАВЛОВИЋ ЋИЋКО"◄</t>
  </si>
  <si>
    <t>912</t>
  </si>
  <si>
    <t>СВЕГА ЗА РАЗДЕЛЕ 1,2,3,4 И 5</t>
  </si>
  <si>
    <t>►ОСНОВНА ШКОЛА "9 ОКТОБАР"◄</t>
  </si>
  <si>
    <t>►ОСНОВНА ШКОЛА "НИКОДИЈЕ СТОЈАНОВИЋ ТАТКО"◄</t>
  </si>
  <si>
    <t>►ОСНОВНА ШКОЛА "МИЛИЋ РАКИЋ МИРКО"◄</t>
  </si>
  <si>
    <t>►МУЗИЧКА ШКОЛА◄</t>
  </si>
  <si>
    <t>►ОСНОВНА ШКОЛА ЗА ОБРАЗОВАЊЕ ОДРАСЛИХ◄</t>
  </si>
  <si>
    <t>►ГИМНАЗИЈА ПРОКУПЉЕ◄</t>
  </si>
  <si>
    <t>►МЕДИЦИНСКА ШКОЛА◄</t>
  </si>
  <si>
    <t>►ПОЉОПРИВРЕДНА ШКОЛА◄</t>
  </si>
  <si>
    <t>►ОСНОВНА ШКОЛА "СВЕТИСЛАВ МИРКОВИЋ НЕНАД"◄</t>
  </si>
  <si>
    <t>►ОСНОВНА ШКОЛА "ВУК КАРАЏИЋ"◄</t>
  </si>
  <si>
    <t>►ОСНОВНА ШКОЛА "СВЕТИ САВА"◄</t>
  </si>
  <si>
    <t>920</t>
  </si>
  <si>
    <t>►ТЕХНИЧКА ШКОЛА "15 МАЈ"◄</t>
  </si>
  <si>
    <t>Учешће општине у изградњи Дома Културе</t>
  </si>
  <si>
    <t>Шифра</t>
  </si>
  <si>
    <t>1101</t>
  </si>
  <si>
    <t>1101-0002</t>
  </si>
  <si>
    <t>Уређивање грађевинског земљишта</t>
  </si>
  <si>
    <t>korisnici ukupno</t>
  </si>
  <si>
    <t>441</t>
  </si>
  <si>
    <t>425</t>
  </si>
  <si>
    <t>423</t>
  </si>
  <si>
    <t>511</t>
  </si>
  <si>
    <t>426</t>
  </si>
  <si>
    <t>454</t>
  </si>
  <si>
    <t>515</t>
  </si>
  <si>
    <t>416</t>
  </si>
  <si>
    <t>0601-0010</t>
  </si>
  <si>
    <t xml:space="preserve">Накнаде за социјалну заштиту из буџета </t>
  </si>
  <si>
    <t>Накнаде из буџета за образ.,културу и спорт</t>
  </si>
  <si>
    <t>Новчене казне и пенали по решењу судова</t>
  </si>
  <si>
    <t xml:space="preserve">Материјал за образовање и усавршавање запослених </t>
  </si>
  <si>
    <t>Јавна расвета</t>
  </si>
  <si>
    <t>0601-0014</t>
  </si>
  <si>
    <t>Остале комуналне услуге</t>
  </si>
  <si>
    <t>Унапређење привредног амбијента</t>
  </si>
  <si>
    <t>Подстицаји за развој предузетништва</t>
  </si>
  <si>
    <t>1501-0004</t>
  </si>
  <si>
    <t>Одржавање економске инфраструктуре</t>
  </si>
  <si>
    <t>1501-0005</t>
  </si>
  <si>
    <t>Финансијска подршка локалном економском развоју</t>
  </si>
  <si>
    <t>Укупно:Туризам</t>
  </si>
  <si>
    <t>1502-0002</t>
  </si>
  <si>
    <t>Туристичка промоција</t>
  </si>
  <si>
    <t>Унапређење  услова за пољопривредну делатност</t>
  </si>
  <si>
    <t>Управљање комуналним отпадом</t>
  </si>
  <si>
    <t>Праћење квалитета елемената животне средине</t>
  </si>
  <si>
    <t>Заштита природних вредности и унапређење подручја са природним својствима</t>
  </si>
  <si>
    <t>0701</t>
  </si>
  <si>
    <t>0701-0001</t>
  </si>
  <si>
    <t>Управљање саобраћајном инфраструктуром</t>
  </si>
  <si>
    <t>0701-0002</t>
  </si>
  <si>
    <t>Одржавање путева</t>
  </si>
  <si>
    <t>0901-0002</t>
  </si>
  <si>
    <t>ПРОГРАМ  2: КОМУНАЛНА ДЕЛАТНОСТ</t>
  </si>
  <si>
    <t>Свега за програм 2:</t>
  </si>
  <si>
    <t>:</t>
  </si>
  <si>
    <t>Укупно 5.2: Месне заједнице</t>
  </si>
  <si>
    <t>Укупно за 5.1: Општинску управу :</t>
  </si>
  <si>
    <t>464100</t>
  </si>
  <si>
    <t>464200</t>
  </si>
  <si>
    <t>Текуће дотације организацијама обавезног соци.одигур.</t>
  </si>
  <si>
    <t>Капиталне дотације организацијама обавезног соци.одигур.</t>
  </si>
  <si>
    <t>ПЛАН 01.01 - 31.06.2016.</t>
  </si>
  <si>
    <t>Текуће поправ.и одржав.зграда и објеката</t>
  </si>
  <si>
    <t>Прихватилишта, прихватне станице и друге врсте смештаја</t>
  </si>
  <si>
    <t>Подршка социо-хуманитарним организацијама</t>
  </si>
  <si>
    <t>Саветодавно-терапијске и социјално-едукативне услуге</t>
  </si>
  <si>
    <t>0901-0005</t>
  </si>
  <si>
    <t>Активности Црвеног крста</t>
  </si>
  <si>
    <t xml:space="preserve">Функционисање локалних установа културе </t>
  </si>
  <si>
    <t>1201-0002</t>
  </si>
  <si>
    <t>Подстицаји културном и уметничком стваралаштву</t>
  </si>
  <si>
    <t>1201-П2</t>
  </si>
  <si>
    <t>1301-0002</t>
  </si>
  <si>
    <t>Подршка предшколском, школском и рекреативном спорту и масовној физичкој култури</t>
  </si>
  <si>
    <t>1301-0003</t>
  </si>
  <si>
    <t>Одржавање спортске инфраструктуре</t>
  </si>
  <si>
    <t>Месне заједнице</t>
  </si>
  <si>
    <t>Општинско јавно правобранилаштво</t>
  </si>
  <si>
    <t>Заштитник грађана</t>
  </si>
  <si>
    <t>Информисање</t>
  </si>
  <si>
    <t>Канцеларија за младе</t>
  </si>
  <si>
    <t>Програми националних мањина</t>
  </si>
  <si>
    <t>Правна помоћ</t>
  </si>
  <si>
    <t>Резерве</t>
  </si>
  <si>
    <t>Порез на зараде</t>
  </si>
  <si>
    <t>Порез на приходе од самосталних делатности</t>
  </si>
  <si>
    <t>Порез на приходе од имовине</t>
  </si>
  <si>
    <t>Порези на имовину</t>
  </si>
  <si>
    <t>Порез на наслеђе и поклон</t>
  </si>
  <si>
    <t>Порез на финасиј.и капиталне трансакције</t>
  </si>
  <si>
    <t>Порези на добра и услуге</t>
  </si>
  <si>
    <t>Приходи од имовине</t>
  </si>
  <si>
    <t xml:space="preserve">Приходи од продаје добара и услуга </t>
  </si>
  <si>
    <t>Новчане казне и одузета имовинска  корист</t>
  </si>
  <si>
    <t>Мешовити и неодређени приходи</t>
  </si>
  <si>
    <t>Порези на дох. добит и капитал. добитке</t>
  </si>
  <si>
    <t>Позиција</t>
  </si>
  <si>
    <t>Раздео</t>
  </si>
  <si>
    <t>Глава</t>
  </si>
  <si>
    <t>Функција</t>
  </si>
  <si>
    <t>Стални трошкови</t>
  </si>
  <si>
    <t>Социјална давања запосленима</t>
  </si>
  <si>
    <t>Трошкови путовања</t>
  </si>
  <si>
    <t>Услуге по уговору</t>
  </si>
  <si>
    <t>Материјал</t>
  </si>
  <si>
    <t>Машине и опрема</t>
  </si>
  <si>
    <t>Текуће поправке и одржавање</t>
  </si>
  <si>
    <t>ЈКП "ХАМЕУМ"</t>
  </si>
  <si>
    <t xml:space="preserve">Стални трошкови </t>
  </si>
  <si>
    <t>Специјализоване услуге</t>
  </si>
  <si>
    <t>Социјални доприноси на терет послодавца</t>
  </si>
  <si>
    <t>Зграде и грађевински објекти</t>
  </si>
  <si>
    <t>Средства резерве</t>
  </si>
  <si>
    <t>Расходи за запослене</t>
  </si>
  <si>
    <t>Социјални доприноси на терет послодаваца</t>
  </si>
  <si>
    <t>Коришћење услуга и роба</t>
  </si>
  <si>
    <t>Отплата домаћих камата</t>
  </si>
  <si>
    <t>Субвенције</t>
  </si>
  <si>
    <t>Субвенције јавним нефинан.предузећима и организацијама</t>
  </si>
  <si>
    <t>Накнаде за социјалну заштиту из буџета</t>
  </si>
  <si>
    <t>Остали расходи</t>
  </si>
  <si>
    <t>Основна средства</t>
  </si>
  <si>
    <t>Приходи из буџета</t>
  </si>
  <si>
    <t>ТЕКУЋИ РАСХОДИ</t>
  </si>
  <si>
    <t>ИЗДАЦИ ЗА НЕФИНАНСИЈСКУ ИМОВИНУ</t>
  </si>
  <si>
    <t>4+5+6</t>
  </si>
  <si>
    <t xml:space="preserve">Компјутерске услуге                                                                     </t>
  </si>
  <si>
    <t xml:space="preserve">Текуће поправке и одржавање опреме                                                                  </t>
  </si>
  <si>
    <t>црвени крст</t>
  </si>
  <si>
    <t>сунце</t>
  </si>
  <si>
    <t>Укупно општина</t>
  </si>
  <si>
    <t>Oдржавање атмосферске канализације</t>
  </si>
  <si>
    <t>Учешће општине у Пројектима</t>
  </si>
  <si>
    <t>Накнаде у натури</t>
  </si>
  <si>
    <t xml:space="preserve">ТЕКУЋИ РАСХОДИ,  ИЗДАЦИ ЗА НЕФИНАНСИЈСКУ ИМОВИНУ  И ИЗДАЦИ ЗА ОТПЛАТУ  ГЛАВНИЦЕ </t>
  </si>
  <si>
    <t>Опште услуге</t>
  </si>
  <si>
    <t>Развој заједнице</t>
  </si>
  <si>
    <t>Заштита животне средине некласификована на другом месту</t>
  </si>
  <si>
    <t>Средње образовање</t>
  </si>
  <si>
    <t>Услуге рекреације и спорта</t>
  </si>
  <si>
    <t>Субвенције јавним нефинансијским предузећима и организацијама</t>
  </si>
  <si>
    <t>4</t>
  </si>
  <si>
    <t>5</t>
  </si>
  <si>
    <t>Субвенције приватним предузећима</t>
  </si>
  <si>
    <t>Породица и деца</t>
  </si>
  <si>
    <t>Плате, додаци и накнаде запослених (зараде)</t>
  </si>
  <si>
    <t>Укупно :Основна школа ,,Ратко Павловић-Ћићко</t>
  </si>
  <si>
    <t>Укупно :Основна школа 9 октобар</t>
  </si>
  <si>
    <t>Укупно :Основна школа Никодије Стојановић - Татко</t>
  </si>
  <si>
    <t>Укупно :Основна школа Милић Ракић-Мирко</t>
  </si>
  <si>
    <t>Укупно :Основна школа Светислав Мирковић- Ненад</t>
  </si>
  <si>
    <t>Укупно :Основна школа Вук Карацић</t>
  </si>
  <si>
    <t>Укупно :Музичка школа</t>
  </si>
  <si>
    <t>Укупно :Основна школа за образовање одраслих</t>
  </si>
  <si>
    <t>Укупно :Гимназија Прокупље</t>
  </si>
  <si>
    <t>Укупно :Медицинска школа</t>
  </si>
  <si>
    <t>Укупно :Техничка школа</t>
  </si>
  <si>
    <t>Укупно :Пољопривредна школа</t>
  </si>
  <si>
    <t>Укупно  - средње образовање:</t>
  </si>
  <si>
    <t>Свега за главу 1.</t>
  </si>
  <si>
    <t>Свега за главу 2.</t>
  </si>
  <si>
    <t>Накнаде трошкова за запослене</t>
  </si>
  <si>
    <t>Награде запосленима и остали посебни расходи</t>
  </si>
  <si>
    <t>Награде запосленима остали посебни расходи</t>
  </si>
  <si>
    <t>Отплата камата и пратећи трошкови задуживања</t>
  </si>
  <si>
    <t>Трансфери осталим нивоима власти</t>
  </si>
  <si>
    <t>Социјално осигурање и социјална заштита</t>
  </si>
  <si>
    <t>Нематеријална имовина</t>
  </si>
  <si>
    <t>Порези, обавезне таксе и казне</t>
  </si>
  <si>
    <t>Новчане казне и пенали по решењу судова</t>
  </si>
  <si>
    <t>Новчане казне и пеналипо решењу судова</t>
  </si>
  <si>
    <t xml:space="preserve"> </t>
  </si>
  <si>
    <t>Општинске административне таксе</t>
  </si>
  <si>
    <t>Боравишна такса</t>
  </si>
  <si>
    <t>Земљиште</t>
  </si>
  <si>
    <t>Плате, додаци и накнаде запослених(зараде)</t>
  </si>
  <si>
    <t>Административни трансфери из буџета</t>
  </si>
  <si>
    <t>Природна имовина</t>
  </si>
  <si>
    <t>Отплата главнице домаћим кредиторима</t>
  </si>
  <si>
    <t>Отплата главнице</t>
  </si>
  <si>
    <t xml:space="preserve">Накнада из буџета за породицу и децу  </t>
  </si>
  <si>
    <t xml:space="preserve">Накнада из буџета </t>
  </si>
  <si>
    <t>070</t>
  </si>
  <si>
    <t>ОПИС</t>
  </si>
  <si>
    <t>ИЗДАЦИ ЗА ОТПЛАТУ ГЛАВНИЦЕ И НАБАВКУ ФИНАНСИЈСКЕ ИМОВИНЕ</t>
  </si>
  <si>
    <t>Конто</t>
  </si>
  <si>
    <t>О      П      И      С</t>
  </si>
  <si>
    <t xml:space="preserve">Плате, додаци и накнаде запослених </t>
  </si>
  <si>
    <t>Допринос за пензијско и инвалидско осигурање</t>
  </si>
  <si>
    <t>Допринос за здравствено осигурање</t>
  </si>
  <si>
    <t>Допринос за незапосленост</t>
  </si>
  <si>
    <t xml:space="preserve">Комуналне услуге </t>
  </si>
  <si>
    <t>Услуге комуникација</t>
  </si>
  <si>
    <t>Услуге информисања</t>
  </si>
  <si>
    <t>Отплата камата домаћим пословним банкама</t>
  </si>
  <si>
    <t>Остале накнаде из буџета</t>
  </si>
  <si>
    <t>Изградња зграда и објеката</t>
  </si>
  <si>
    <t>Капитално одржавање зграда и објеката</t>
  </si>
  <si>
    <t>Пројектно планирање</t>
  </si>
  <si>
    <t>Опрема за заштиту животне средине</t>
  </si>
  <si>
    <t>Отплата главнице домаћим пословним банкама</t>
  </si>
  <si>
    <t>Исплата накнада за време одсуствовања с посла</t>
  </si>
  <si>
    <t>Отпремнине и помоћи</t>
  </si>
  <si>
    <t>Трошкови платног промета и банкарских услуга</t>
  </si>
  <si>
    <t xml:space="preserve">Енергетске услуге </t>
  </si>
  <si>
    <t>Комуналне услуге</t>
  </si>
  <si>
    <t>Трошкови осигурања</t>
  </si>
  <si>
    <t>Закуп имовине и опреме</t>
  </si>
  <si>
    <t>Трошкови службених путовања у земљи</t>
  </si>
  <si>
    <t>Трошкови службених путовања у иностранство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</si>
  <si>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</si>
  <si>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</si>
  <si>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</si>
  <si>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</si>
  <si>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</si>
  <si>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Остале опште услуге</t>
  </si>
  <si>
    <t>Услуге образовања, културе и спорта</t>
  </si>
  <si>
    <t>Услуге очувања животне средине, науке и геодетске услуге</t>
  </si>
  <si>
    <t>Текуће поправке и одржавање зграда и објеката</t>
  </si>
  <si>
    <t>Текуће поправке и одржавање опреме</t>
  </si>
  <si>
    <t>Административни материјал</t>
  </si>
  <si>
    <t xml:space="preserve">Материјали за саобраћај </t>
  </si>
  <si>
    <t>Материјали за одржавање хигијене и угоститељство</t>
  </si>
  <si>
    <t>Обавезне таксе</t>
  </si>
  <si>
    <t>Опрема за саобраћај</t>
  </si>
  <si>
    <t>Административна опрема</t>
  </si>
  <si>
    <t>Стална резерва</t>
  </si>
  <si>
    <t>Текућа резерва</t>
  </si>
  <si>
    <t>Текући трансфери осталим нивоима власти</t>
  </si>
  <si>
    <t>Енергетске услуге</t>
  </si>
  <si>
    <t>Трошкови путовања ученика</t>
  </si>
  <si>
    <t>Материјали за образовање и усавршавање запослених</t>
  </si>
  <si>
    <t>Материјали за образовање, културу и спорт</t>
  </si>
  <si>
    <t>ОДЛУКА О   БУЏЕТУ ОПШТИНЕ ПРОКУПЉЕ ЗА 2016 год. бр.      06-61/2015-02</t>
  </si>
  <si>
    <t>План буџета за 2016 год. - Корекција за средства резерве и реалокација средстава</t>
  </si>
  <si>
    <t xml:space="preserve">Накнаде из буџета за образовање, културу, науку и спорт </t>
  </si>
  <si>
    <t>ПРЕДШКОЛСКА УСТАНОВА НЕВЕН</t>
  </si>
  <si>
    <t>Накнаде за запослене</t>
  </si>
  <si>
    <t>ФОНД ЗА ФИНАНСИРАЊЕ ТАЛЕНАТА</t>
  </si>
  <si>
    <t>Капитални трансфери осталим нивоима власти</t>
  </si>
  <si>
    <t>НАКНАДЕ ИЗ БУЏЕТА ЗА ДЕЦУ И ПОРОДИЦУ</t>
  </si>
  <si>
    <t>Накнада за социјалну заштиту из буџета</t>
  </si>
  <si>
    <t xml:space="preserve">Накнаде из буџета за децу и породицу </t>
  </si>
  <si>
    <t>Остале специјализоване услуге</t>
  </si>
  <si>
    <t>ОРГАНИЗОВАЊЕ СПОРТСКИХ АКТИВНОСТИ</t>
  </si>
  <si>
    <t>Опрема за образовање, науку, културу и спорт</t>
  </si>
  <si>
    <t>ТУРИСТИЧКО СПОРТСКИ ЦЕНТАР</t>
  </si>
  <si>
    <t>Помоћ у медицинском лечењу запосленог или члана...</t>
  </si>
  <si>
    <t>Административне услуге</t>
  </si>
  <si>
    <t>НАРОДНИ МУЗЕЈ</t>
  </si>
  <si>
    <t xml:space="preserve">Материјали за образовање, културу и спорт </t>
  </si>
  <si>
    <t>ДОМ КУЛТУРЕ</t>
  </si>
  <si>
    <t>Трошкови путовања у оквиру редовног рада</t>
  </si>
  <si>
    <t>Материјали за посебне намене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</si>
  <si>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</si>
  <si>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</si>
  <si>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</si>
  <si>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</si>
  <si>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</si>
  <si>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</si>
  <si>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</si>
  <si>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</si>
  <si>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</si>
  <si>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</si>
  <si>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</si>
  <si>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</si>
  <si>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</si>
  <si>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</si>
  <si>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35</t>
  </si>
  <si>
    <t>36</t>
  </si>
  <si>
    <t>38</t>
  </si>
  <si>
    <t>39</t>
  </si>
  <si>
    <t>40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</si>
  <si>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</si>
  <si>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</si>
  <si>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</si>
  <si>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</si>
  <si>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</si>
  <si>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</si>
  <si>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</si>
  <si>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</si>
  <si>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</si>
  <si>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</si>
  <si>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</si>
  <si>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</si>
  <si>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56</t>
  </si>
  <si>
    <t>57</t>
  </si>
  <si>
    <t>62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</si>
  <si>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</si>
  <si>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</si>
  <si>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</si>
  <si>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</si>
  <si>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</si>
  <si>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</si>
  <si>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</si>
  <si>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</si>
  <si>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</si>
  <si>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</si>
  <si>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</si>
  <si>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76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</si>
  <si>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</si>
  <si>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</si>
  <si>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</si>
  <si>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</si>
  <si>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</si>
  <si>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</si>
  <si>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</si>
  <si>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</si>
  <si>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</si>
  <si>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</si>
  <si>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</si>
  <si>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</si>
  <si>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</si>
  <si>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</si>
  <si>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94</t>
  </si>
  <si>
    <t>95</t>
  </si>
  <si>
    <t>96</t>
  </si>
  <si>
    <t>97</t>
  </si>
  <si>
    <t>101</t>
  </si>
  <si>
    <t>102</t>
  </si>
  <si>
    <t>103</t>
  </si>
  <si>
    <t>104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</si>
  <si>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</si>
  <si>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</si>
  <si>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</si>
  <si>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</si>
  <si>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</si>
  <si>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</si>
  <si>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</si>
  <si>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</si>
  <si>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</si>
  <si>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</si>
  <si>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</si>
  <si>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</si>
  <si>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</si>
  <si>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</si>
  <si>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</si>
  <si>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</si>
  <si>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</si>
  <si>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</si>
  <si>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</si>
  <si>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</si>
  <si>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</si>
  <si>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</si>
  <si>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</si>
  <si>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</si>
  <si>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</si>
  <si>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</si>
  <si>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</si>
  <si>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</si>
  <si>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</si>
  <si>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</si>
  <si>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</si>
  <si>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</si>
  <si>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</si>
  <si>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</si>
  <si>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</si>
  <si>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</si>
  <si>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</si>
  <si>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</si>
  <si>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</si>
  <si>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</si>
  <si>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</si>
  <si>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</si>
  <si>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</si>
  <si>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</si>
  <si>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</si>
  <si>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</si>
  <si>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</si>
  <si>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</si>
  <si>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</si>
  <si>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</si>
  <si>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</si>
  <si>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</si>
  <si>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</si>
  <si>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</si>
  <si>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</si>
  <si>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</si>
  <si>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</si>
  <si>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</si>
  <si>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166</t>
  </si>
  <si>
    <t>167</t>
  </si>
  <si>
    <t>168</t>
  </si>
  <si>
    <t>169</t>
  </si>
  <si>
    <t>171</t>
  </si>
  <si>
    <t>172</t>
  </si>
  <si>
    <t>173</t>
  </si>
  <si>
    <t>174</t>
  </si>
  <si>
    <t>175</t>
  </si>
  <si>
    <t>193</t>
  </si>
  <si>
    <t>194</t>
  </si>
  <si>
    <t>195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</si>
  <si>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</si>
  <si>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</si>
  <si>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</si>
  <si>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</si>
  <si>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</si>
  <si>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</si>
  <si>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</si>
  <si>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</si>
  <si>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</si>
  <si>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</si>
  <si>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</si>
  <si>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</si>
  <si>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</si>
  <si>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</si>
  <si>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</si>
  <si>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</si>
  <si>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218</t>
  </si>
  <si>
    <t>220</t>
  </si>
  <si>
    <t>221</t>
  </si>
  <si>
    <t>222</t>
  </si>
  <si>
    <t>223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</si>
  <si>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</si>
  <si>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</si>
  <si>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</si>
  <si>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</si>
  <si>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</si>
  <si>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</si>
  <si>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</si>
  <si>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</si>
  <si>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</si>
  <si>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</si>
  <si>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</si>
  <si>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</si>
  <si>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</si>
  <si>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</si>
  <si>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</si>
  <si>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</si>
  <si>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</si>
  <si>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</si>
  <si>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</si>
  <si>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</si>
  <si>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</si>
  <si>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</si>
  <si>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</si>
  <si>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</si>
  <si>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280</t>
  </si>
  <si>
    <t>281</t>
  </si>
  <si>
    <t>282</t>
  </si>
  <si>
    <t>283</t>
  </si>
  <si>
    <t>284</t>
  </si>
  <si>
    <t>285</t>
  </si>
  <si>
    <t>286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</si>
  <si>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</si>
  <si>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</si>
  <si>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</si>
  <si>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</si>
  <si>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</si>
  <si>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</si>
  <si>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</si>
  <si>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</si>
  <si>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</si>
  <si>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300</t>
  </si>
  <si>
    <t>301</t>
  </si>
  <si>
    <t>302</t>
  </si>
  <si>
    <t>303</t>
  </si>
  <si>
    <t>304</t>
  </si>
  <si>
    <t>307</t>
  </si>
  <si>
    <t>308</t>
  </si>
  <si>
    <t>309</t>
  </si>
  <si>
    <t>310</t>
  </si>
  <si>
    <t>311</t>
  </si>
  <si>
    <t>313</t>
  </si>
  <si>
    <t>314</t>
  </si>
  <si>
    <t>315</t>
  </si>
  <si>
    <t>316</t>
  </si>
  <si>
    <t>317</t>
  </si>
  <si>
    <t>318</t>
  </si>
  <si>
    <t>319</t>
  </si>
  <si>
    <t>321</t>
  </si>
  <si>
    <t>322</t>
  </si>
  <si>
    <t>325</t>
  </si>
  <si>
    <t>326</t>
  </si>
  <si>
    <t>327</t>
  </si>
  <si>
    <t>329</t>
  </si>
  <si>
    <t>330</t>
  </si>
  <si>
    <t>334</t>
  </si>
  <si>
    <t>336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</si>
  <si>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</si>
  <si>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</si>
  <si>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</si>
  <si>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</si>
  <si>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</si>
  <si>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</si>
  <si>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</si>
  <si>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</si>
  <si>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</si>
  <si>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</si>
  <si>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</si>
  <si>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</si>
  <si>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</si>
  <si>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</si>
  <si>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</si>
  <si>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</si>
  <si>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</si>
  <si>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359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</si>
  <si>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</si>
  <si>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</si>
  <si>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</si>
  <si>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</si>
  <si>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</si>
  <si>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</si>
  <si>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</si>
  <si>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</si>
  <si>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</si>
  <si>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</si>
  <si>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</si>
  <si>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</si>
  <si>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</si>
  <si>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</si>
  <si>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</si>
  <si>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</si>
  <si>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</si>
  <si>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</si>
  <si>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</si>
  <si>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381</t>
  </si>
  <si>
    <t>384</t>
  </si>
  <si>
    <t>385</t>
  </si>
  <si>
    <t>386</t>
  </si>
  <si>
    <t>387</t>
  </si>
  <si>
    <t>388</t>
  </si>
  <si>
    <t>389</t>
  </si>
  <si>
    <t>390</t>
  </si>
  <si>
    <t>391</t>
  </si>
  <si>
    <t>393</t>
  </si>
  <si>
    <t>394</t>
  </si>
  <si>
    <t>395</t>
  </si>
  <si>
    <t>396</t>
  </si>
  <si>
    <t>397</t>
  </si>
  <si>
    <t>398</t>
  </si>
  <si>
    <t>399</t>
  </si>
  <si>
    <t>402</t>
  </si>
  <si>
    <t>403</t>
  </si>
  <si>
    <t>404</t>
  </si>
  <si>
    <t>406</t>
  </si>
  <si>
    <t>407</t>
  </si>
  <si>
    <t>408</t>
  </si>
  <si>
    <t>409</t>
  </si>
  <si>
    <t>410</t>
  </si>
  <si>
    <t>411</t>
  </si>
  <si>
    <t>415</t>
  </si>
  <si>
    <t>417</t>
  </si>
  <si>
    <t>418</t>
  </si>
  <si>
    <t>419</t>
  </si>
  <si>
    <t>420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</si>
  <si>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</si>
  <si>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</si>
  <si>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</si>
  <si>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</si>
  <si>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</si>
  <si>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</si>
  <si>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</si>
  <si>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</si>
  <si>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</si>
  <si>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437</t>
  </si>
  <si>
    <t>439</t>
  </si>
  <si>
    <t>440</t>
  </si>
  <si>
    <t>442</t>
  </si>
  <si>
    <t>443</t>
  </si>
  <si>
    <t>444</t>
  </si>
  <si>
    <t>445</t>
  </si>
  <si>
    <t>448</t>
  </si>
  <si>
    <t>449</t>
  </si>
  <si>
    <t>450</t>
  </si>
  <si>
    <t>452</t>
  </si>
  <si>
    <t>453</t>
  </si>
  <si>
    <t>455</t>
  </si>
  <si>
    <t>456</t>
  </si>
  <si>
    <t>Укупно-Основно образовање</t>
  </si>
  <si>
    <t>457</t>
  </si>
  <si>
    <t>458</t>
  </si>
  <si>
    <t>460</t>
  </si>
  <si>
    <t>461</t>
  </si>
  <si>
    <t>462</t>
  </si>
  <si>
    <t>466</t>
  </si>
  <si>
    <t>467</t>
  </si>
  <si>
    <t>468</t>
  </si>
  <si>
    <t>469</t>
  </si>
  <si>
    <t>470</t>
  </si>
  <si>
    <t>471</t>
  </si>
  <si>
    <t>473</t>
  </si>
  <si>
    <t>474</t>
  </si>
  <si>
    <t>475</t>
  </si>
  <si>
    <t>476</t>
  </si>
  <si>
    <t>477</t>
  </si>
  <si>
    <t>480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</si>
  <si>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</si>
  <si>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</si>
  <si>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</si>
  <si>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</si>
  <si>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</si>
  <si>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</si>
  <si>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</si>
  <si>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</si>
  <si>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</si>
  <si>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494</t>
  </si>
  <si>
    <t>496</t>
  </si>
  <si>
    <t>497</t>
  </si>
  <si>
    <t>498</t>
  </si>
  <si>
    <t>499</t>
  </si>
  <si>
    <t>500</t>
  </si>
  <si>
    <t>501</t>
  </si>
  <si>
    <t>502</t>
  </si>
  <si>
    <t>503</t>
  </si>
  <si>
    <t>504</t>
  </si>
  <si>
    <t>505</t>
  </si>
  <si>
    <t>506</t>
  </si>
  <si>
    <t>508</t>
  </si>
  <si>
    <t>509</t>
  </si>
  <si>
    <t>510</t>
  </si>
  <si>
    <t>512</t>
  </si>
  <si>
    <t>513</t>
  </si>
  <si>
    <t>514</t>
  </si>
  <si>
    <t>516</t>
  </si>
  <si>
    <t>517</t>
  </si>
  <si>
    <t>518</t>
  </si>
  <si>
    <t>519</t>
  </si>
  <si>
    <t>520</t>
  </si>
  <si>
    <t>521</t>
  </si>
  <si>
    <t>522</t>
  </si>
  <si>
    <t>523</t>
  </si>
  <si>
    <t>524</t>
  </si>
  <si>
    <t>525</t>
  </si>
  <si>
    <t>526</t>
  </si>
  <si>
    <t>527</t>
  </si>
  <si>
    <t>528</t>
  </si>
  <si>
    <t>529</t>
  </si>
  <si>
    <t>532</t>
  </si>
  <si>
    <t>533</t>
  </si>
  <si>
    <t>534</t>
  </si>
  <si>
    <t>535</t>
  </si>
  <si>
    <t>536</t>
  </si>
  <si>
    <t>537</t>
  </si>
  <si>
    <t>538</t>
  </si>
  <si>
    <t>539</t>
  </si>
  <si>
    <t>540</t>
  </si>
  <si>
    <t>542</t>
  </si>
  <si>
    <t>543</t>
  </si>
  <si>
    <t>544</t>
  </si>
  <si>
    <t>545</t>
  </si>
  <si>
    <t>546</t>
  </si>
  <si>
    <t>547</t>
  </si>
  <si>
    <t>548</t>
  </si>
  <si>
    <t>549</t>
  </si>
  <si>
    <t>550</t>
  </si>
  <si>
    <t>551</t>
  </si>
  <si>
    <t>552</t>
  </si>
  <si>
    <t>553</t>
  </si>
  <si>
    <t>554</t>
  </si>
  <si>
    <t>555</t>
  </si>
  <si>
    <t>556</t>
  </si>
  <si>
    <t>557</t>
  </si>
  <si>
    <t>558</t>
  </si>
  <si>
    <t>559</t>
  </si>
  <si>
    <t>560</t>
  </si>
  <si>
    <t>561</t>
  </si>
  <si>
    <t>563</t>
  </si>
  <si>
    <t>568</t>
  </si>
  <si>
    <t>569</t>
  </si>
  <si>
    <t>570</t>
  </si>
  <si>
    <t>571</t>
  </si>
  <si>
    <t>572</t>
  </si>
  <si>
    <t>573</t>
  </si>
  <si>
    <t>574</t>
  </si>
  <si>
    <t>576</t>
  </si>
  <si>
    <t>577</t>
  </si>
  <si>
    <t>578</t>
  </si>
  <si>
    <t>580</t>
  </si>
  <si>
    <t>581</t>
  </si>
  <si>
    <t>584</t>
  </si>
  <si>
    <t>585</t>
  </si>
  <si>
    <t>586</t>
  </si>
  <si>
    <t>587</t>
  </si>
  <si>
    <t>590</t>
  </si>
  <si>
    <t>591</t>
  </si>
  <si>
    <t>592</t>
  </si>
  <si>
    <t>593</t>
  </si>
  <si>
    <t>594</t>
  </si>
  <si>
    <t>595</t>
  </si>
  <si>
    <t>596</t>
  </si>
  <si>
    <t>597</t>
  </si>
  <si>
    <t>598</t>
  </si>
  <si>
    <t>600</t>
  </si>
  <si>
    <t>601</t>
  </si>
  <si>
    <t>602</t>
  </si>
  <si>
    <t>605</t>
  </si>
  <si>
    <t>606</t>
  </si>
  <si>
    <t>607</t>
  </si>
  <si>
    <t>608</t>
  </si>
  <si>
    <t>609</t>
  </si>
  <si>
    <t>610</t>
  </si>
  <si>
    <t>611</t>
  </si>
  <si>
    <t>612</t>
  </si>
  <si>
    <t>613</t>
  </si>
  <si>
    <t>615</t>
  </si>
  <si>
    <t>616</t>
  </si>
  <si>
    <t>617</t>
  </si>
  <si>
    <t>618</t>
  </si>
  <si>
    <t>619</t>
  </si>
  <si>
    <t>620</t>
  </si>
  <si>
    <t>621</t>
  </si>
  <si>
    <t>622</t>
  </si>
  <si>
    <t>623</t>
  </si>
  <si>
    <t>624</t>
  </si>
  <si>
    <t>625</t>
  </si>
  <si>
    <t>626</t>
  </si>
  <si>
    <t>627</t>
  </si>
  <si>
    <t>628</t>
  </si>
  <si>
    <t>631</t>
  </si>
  <si>
    <t>632</t>
  </si>
  <si>
    <t>633</t>
  </si>
  <si>
    <t>634</t>
  </si>
  <si>
    <t>635</t>
  </si>
  <si>
    <t>636</t>
  </si>
  <si>
    <t>637</t>
  </si>
  <si>
    <t>638</t>
  </si>
  <si>
    <t>639</t>
  </si>
  <si>
    <t>641</t>
  </si>
  <si>
    <t>642</t>
  </si>
  <si>
    <t>643</t>
  </si>
  <si>
    <t>644</t>
  </si>
  <si>
    <t>645</t>
  </si>
  <si>
    <t>646</t>
  </si>
  <si>
    <t>647</t>
  </si>
  <si>
    <t>649</t>
  </si>
  <si>
    <t>648</t>
  </si>
  <si>
    <t>650</t>
  </si>
  <si>
    <t>651</t>
  </si>
  <si>
    <t>658</t>
  </si>
  <si>
    <t>659</t>
  </si>
  <si>
    <t>660</t>
  </si>
  <si>
    <t>661</t>
  </si>
  <si>
    <t>662</t>
  </si>
  <si>
    <t>663</t>
  </si>
  <si>
    <t>664</t>
  </si>
  <si>
    <t>665</t>
  </si>
  <si>
    <t>670</t>
  </si>
  <si>
    <t>672</t>
  </si>
  <si>
    <t>673</t>
  </si>
  <si>
    <t>674</t>
  </si>
  <si>
    <t>675</t>
  </si>
  <si>
    <t>676</t>
  </si>
  <si>
    <t>677</t>
  </si>
  <si>
    <t>678</t>
  </si>
  <si>
    <t>679</t>
  </si>
  <si>
    <t>680</t>
  </si>
  <si>
    <t>681</t>
  </si>
  <si>
    <t>682</t>
  </si>
  <si>
    <t>683</t>
  </si>
  <si>
    <t>684</t>
  </si>
  <si>
    <t>685</t>
  </si>
  <si>
    <t>686</t>
  </si>
  <si>
    <t>688</t>
  </si>
  <si>
    <t>689</t>
  </si>
  <si>
    <t>690</t>
  </si>
  <si>
    <t>691</t>
  </si>
  <si>
    <t>692</t>
  </si>
  <si>
    <t>693</t>
  </si>
  <si>
    <t>696</t>
  </si>
  <si>
    <t>697</t>
  </si>
  <si>
    <t>700</t>
  </si>
  <si>
    <t>701</t>
  </si>
  <si>
    <t>702</t>
  </si>
  <si>
    <t>703</t>
  </si>
  <si>
    <t>704</t>
  </si>
  <si>
    <t>705</t>
  </si>
  <si>
    <t>706</t>
  </si>
  <si>
    <t>707</t>
  </si>
  <si>
    <t>708</t>
  </si>
  <si>
    <t>756</t>
  </si>
  <si>
    <t>757</t>
  </si>
  <si>
    <t>758</t>
  </si>
  <si>
    <t>759</t>
  </si>
  <si>
    <t>760</t>
  </si>
  <si>
    <t>761</t>
  </si>
  <si>
    <t>762</t>
  </si>
  <si>
    <t>763</t>
  </si>
  <si>
    <t>764</t>
  </si>
  <si>
    <t>765</t>
  </si>
  <si>
    <t>766</t>
  </si>
  <si>
    <t>Реконструкција и изградња водовода за насеље Гарић</t>
  </si>
  <si>
    <t>Експропријација земљишта</t>
  </si>
  <si>
    <t>816</t>
  </si>
  <si>
    <t>817</t>
  </si>
  <si>
    <t>Укупно :Основна школа Свети Сава</t>
  </si>
  <si>
    <t xml:space="preserve">плава резерва </t>
  </si>
  <si>
    <t>розе апропријације</t>
  </si>
  <si>
    <t>зелена стална рез.</t>
  </si>
  <si>
    <t>484000</t>
  </si>
  <si>
    <t>484100</t>
  </si>
  <si>
    <t>Трошкови платног промета</t>
  </si>
  <si>
    <t>864</t>
  </si>
  <si>
    <t>865</t>
  </si>
  <si>
    <t>866</t>
  </si>
  <si>
    <t>867</t>
  </si>
  <si>
    <t>868</t>
  </si>
  <si>
    <t>869</t>
  </si>
  <si>
    <t>870</t>
  </si>
  <si>
    <t>871</t>
  </si>
  <si>
    <t>872</t>
  </si>
  <si>
    <t>874</t>
  </si>
  <si>
    <t>875</t>
  </si>
  <si>
    <t>876</t>
  </si>
  <si>
    <t>873</t>
  </si>
  <si>
    <t>877</t>
  </si>
  <si>
    <t>878</t>
  </si>
  <si>
    <t>879</t>
  </si>
  <si>
    <t>880</t>
  </si>
  <si>
    <t>881</t>
  </si>
  <si>
    <t>882</t>
  </si>
  <si>
    <t>883</t>
  </si>
  <si>
    <t>884</t>
  </si>
  <si>
    <t>885</t>
  </si>
  <si>
    <t>886</t>
  </si>
  <si>
    <t>887</t>
  </si>
  <si>
    <t>888</t>
  </si>
  <si>
    <t>889</t>
  </si>
  <si>
    <t>890</t>
  </si>
  <si>
    <t>891</t>
  </si>
  <si>
    <t>892</t>
  </si>
  <si>
    <t>893</t>
  </si>
  <si>
    <t>894</t>
  </si>
  <si>
    <t>895</t>
  </si>
  <si>
    <t>896</t>
  </si>
  <si>
    <t>897</t>
  </si>
  <si>
    <t>898</t>
  </si>
  <si>
    <t>899</t>
  </si>
  <si>
    <t>900</t>
  </si>
  <si>
    <t>901</t>
  </si>
  <si>
    <t>906</t>
  </si>
  <si>
    <t>907</t>
  </si>
  <si>
    <t>908</t>
  </si>
  <si>
    <t>909</t>
  </si>
  <si>
    <t>910</t>
  </si>
  <si>
    <t>911</t>
  </si>
  <si>
    <t>913</t>
  </si>
  <si>
    <t>914</t>
  </si>
  <si>
    <t>915</t>
  </si>
  <si>
    <t>916</t>
  </si>
  <si>
    <t>917</t>
  </si>
  <si>
    <t>918</t>
  </si>
  <si>
    <t>919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</si>
  <si>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</si>
  <si>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</si>
  <si>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</si>
  <si>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</si>
  <si>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</si>
  <si>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</si>
  <si>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</si>
  <si>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</si>
  <si>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</si>
  <si>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</si>
  <si>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931</t>
  </si>
  <si>
    <t>932</t>
  </si>
  <si>
    <t>933</t>
  </si>
  <si>
    <t>934</t>
  </si>
  <si>
    <t>935</t>
  </si>
  <si>
    <t>936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</si>
  <si>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</si>
  <si>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</si>
  <si>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</si>
  <si>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</si>
  <si>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</si>
  <si>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</si>
  <si>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</si>
  <si>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</si>
  <si>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</si>
  <si>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</si>
  <si>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</si>
  <si>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</si>
  <si>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</si>
  <si>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</si>
  <si>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</si>
  <si>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</si>
  <si>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</si>
  <si>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</si>
  <si>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</si>
  <si>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</si>
  <si>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</si>
  <si>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</si>
  <si>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</si>
  <si>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</si>
  <si>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970</t>
  </si>
  <si>
    <t>971</t>
  </si>
  <si>
    <t>972</t>
  </si>
  <si>
    <t>973</t>
  </si>
  <si>
    <t>974</t>
  </si>
  <si>
    <t>975</t>
  </si>
  <si>
    <t>976</t>
  </si>
  <si>
    <t>977</t>
  </si>
  <si>
    <t>978</t>
  </si>
  <si>
    <t>981</t>
  </si>
  <si>
    <t>982</t>
  </si>
  <si>
    <t>983</t>
  </si>
  <si>
    <t>984</t>
  </si>
  <si>
    <t>985</t>
  </si>
  <si>
    <t>986</t>
  </si>
  <si>
    <t>987</t>
  </si>
  <si>
    <t>988</t>
  </si>
  <si>
    <t>989</t>
  </si>
  <si>
    <t>990</t>
  </si>
  <si>
    <t>991</t>
  </si>
  <si>
    <t>992</t>
  </si>
  <si>
    <t>993</t>
  </si>
  <si>
    <t>1000</t>
  </si>
  <si>
    <t>1001</t>
  </si>
  <si>
    <t>1002</t>
  </si>
  <si>
    <t>1003</t>
  </si>
  <si>
    <t>Опремнине и помоћи</t>
  </si>
  <si>
    <t>Услуге образовања , културе и спотра</t>
  </si>
  <si>
    <t>Материјал за одржавање хигијене и угоститељство</t>
  </si>
  <si>
    <t>1004</t>
  </si>
  <si>
    <t>1005</t>
  </si>
  <si>
    <t>1006</t>
  </si>
  <si>
    <t>1007</t>
  </si>
  <si>
    <t>1008</t>
  </si>
  <si>
    <t>1009</t>
  </si>
  <si>
    <t>1010</t>
  </si>
  <si>
    <t>1011</t>
  </si>
  <si>
    <t>1012</t>
  </si>
  <si>
    <t>1013</t>
  </si>
  <si>
    <t>1014</t>
  </si>
  <si>
    <t>1015</t>
  </si>
  <si>
    <t>1016</t>
  </si>
  <si>
    <t>Oстале специјализоване услуге</t>
  </si>
  <si>
    <t>Текуће дотације националној служби за запошљавање</t>
  </si>
  <si>
    <t>Текуће дотације националној служби за запошљавање суфинансирање јавних радова као програм активне политике запошљ. У 2016.</t>
  </si>
  <si>
    <t xml:space="preserve">Текуће субвенције за пољопривреду                                                                 </t>
  </si>
  <si>
    <t>1017</t>
  </si>
  <si>
    <t>1018</t>
  </si>
  <si>
    <t>1019</t>
  </si>
  <si>
    <t>1020</t>
  </si>
  <si>
    <t>1021</t>
  </si>
  <si>
    <t>1022</t>
  </si>
  <si>
    <t>1023</t>
  </si>
  <si>
    <t>1024</t>
  </si>
  <si>
    <t>1025</t>
  </si>
  <si>
    <t>1026</t>
  </si>
  <si>
    <t>1027</t>
  </si>
  <si>
    <t>1028</t>
  </si>
  <si>
    <t>1029</t>
  </si>
  <si>
    <t>1030</t>
  </si>
  <si>
    <t>1031</t>
  </si>
  <si>
    <t>Накнада из буџета за образовање култури науку и спорт</t>
  </si>
  <si>
    <t>1036</t>
  </si>
  <si>
    <t>1037</t>
  </si>
  <si>
    <t>1038</t>
  </si>
  <si>
    <t>1039</t>
  </si>
  <si>
    <t>1040</t>
  </si>
  <si>
    <t>1041</t>
  </si>
  <si>
    <t>1042</t>
  </si>
  <si>
    <t>1043</t>
  </si>
  <si>
    <t>1044</t>
  </si>
  <si>
    <t>1045</t>
  </si>
  <si>
    <t>1046</t>
  </si>
  <si>
    <t>1047</t>
  </si>
  <si>
    <t>1048</t>
  </si>
  <si>
    <t>1049</t>
  </si>
  <si>
    <t>1050</t>
  </si>
  <si>
    <t>1051</t>
  </si>
  <si>
    <t>1052</t>
  </si>
  <si>
    <t>1053</t>
  </si>
  <si>
    <t>1054</t>
  </si>
  <si>
    <t>1055</t>
  </si>
  <si>
    <t>1056</t>
  </si>
  <si>
    <t>1057</t>
  </si>
  <si>
    <t>1058</t>
  </si>
  <si>
    <t>1059</t>
  </si>
  <si>
    <t>1060</t>
  </si>
  <si>
    <t>1061</t>
  </si>
  <si>
    <t>1062</t>
  </si>
  <si>
    <t>1063</t>
  </si>
  <si>
    <t>1064</t>
  </si>
  <si>
    <t>1065</t>
  </si>
  <si>
    <t>1070</t>
  </si>
  <si>
    <t>1071</t>
  </si>
  <si>
    <t>1072</t>
  </si>
  <si>
    <t>1073</t>
  </si>
  <si>
    <t>1074</t>
  </si>
  <si>
    <t>1075</t>
  </si>
  <si>
    <t>1076</t>
  </si>
  <si>
    <t>1077</t>
  </si>
  <si>
    <t>1078</t>
  </si>
  <si>
    <t>1079</t>
  </si>
  <si>
    <t>1080</t>
  </si>
  <si>
    <t>1081</t>
  </si>
  <si>
    <t>1082</t>
  </si>
  <si>
    <t>1083</t>
  </si>
  <si>
    <t>1084</t>
  </si>
  <si>
    <t>1085</t>
  </si>
  <si>
    <t>1086</t>
  </si>
  <si>
    <t>1087</t>
  </si>
  <si>
    <t>1088</t>
  </si>
  <si>
    <t>1089</t>
  </si>
  <si>
    <t>1090</t>
  </si>
  <si>
    <t>1091</t>
  </si>
  <si>
    <t>1092</t>
  </si>
  <si>
    <t>1093</t>
  </si>
  <si>
    <t>1094</t>
  </si>
  <si>
    <t>1095</t>
  </si>
  <si>
    <t>1096</t>
  </si>
  <si>
    <t>1097</t>
  </si>
  <si>
    <t>1098</t>
  </si>
  <si>
    <t>1099</t>
  </si>
  <si>
    <t>1100</t>
  </si>
  <si>
    <t>1103</t>
  </si>
  <si>
    <t>1104</t>
  </si>
  <si>
    <t>1105</t>
  </si>
  <si>
    <t>1106</t>
  </si>
  <si>
    <t>1107</t>
  </si>
  <si>
    <t>1108</t>
  </si>
  <si>
    <t>1109</t>
  </si>
  <si>
    <t>1110</t>
  </si>
  <si>
    <t>1111</t>
  </si>
  <si>
    <t>1112</t>
  </si>
  <si>
    <t>1113</t>
  </si>
  <si>
    <t>1114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</si>
</sst>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d/m"/>
    <numFmt numFmtId="181" formatCode="[$-409]dddd\,\ mmmm\ dd\,\ yyyy"/>
    <numFmt numFmtId="182" formatCode="[$-409]h:mm:ss\ AM/PM"/>
    <numFmt numFmtId="183" formatCode="000,\O\O\O"/>
    <numFmt numFmtId="184" formatCode="#,##0.0000"/>
    <numFmt numFmtId="185" formatCode="#,##0.000"/>
    <numFmt numFmtId="186" formatCode="[$-81A]d\.\ mmmm\ yyyy"/>
    <numFmt numFmtId="187" formatCode="0000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_(* #,##0.00_);_(* \(#,##0.00\);_(* \-??_);_(@_)"/>
    <numFmt numFmtId="193" formatCode="0.0%"/>
    <numFmt numFmtId="194" formatCode="0.00000000"/>
    <numFmt numFmtId="195" formatCode="#,##0.00;[Red]#,##0.00"/>
    <numFmt numFmtId="196" formatCode="#,##0.0"/>
    <numFmt numFmtId="197" formatCode="_(* #,##0.0_);_(* \(#,##0.0\);_(* &quot;-&quot;_);_(@_)"/>
    <numFmt numFmtId="198" formatCode="_(* #,##0.00_);_(* \(#,##0.00\);_(* &quot;-&quot;_);_(@_)"/>
  </numFmts>
  <fonts count="65">
    <font>
      <sz val="10"/>
      <name val="Arial"/>
      <family val="0"/>
    </font>
    <font>
      <sz val="8"/>
      <name val="Arial"/>
      <family val="0"/>
    </font>
    <font>
      <b/>
      <sz val="13"/>
      <name val="Arial"/>
      <family val="2"/>
    </font>
    <font>
      <b/>
      <sz val="2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22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Arial"/>
      <family val="0"/>
    </font>
    <font>
      <b/>
      <sz val="10"/>
      <name val="Small Fonts"/>
      <family val="2"/>
    </font>
    <font>
      <b/>
      <sz val="12"/>
      <name val="Arial"/>
      <family val="2"/>
    </font>
    <font>
      <b/>
      <i/>
      <sz val="10"/>
      <name val="Times New Roman"/>
      <family val="1"/>
    </font>
    <font>
      <b/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name val="Arial"/>
      <family val="0"/>
    </font>
    <font>
      <b/>
      <i/>
      <sz val="10"/>
      <name val="Small Fonts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u val="single"/>
      <sz val="10"/>
      <name val="Times New Roman"/>
      <family val="1"/>
    </font>
    <font>
      <i/>
      <sz val="10"/>
      <name val="Arial"/>
      <family val="0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b/>
      <sz val="11"/>
      <name val="Arial"/>
      <family val="0"/>
    </font>
    <font>
      <b/>
      <i/>
      <sz val="11"/>
      <color indexed="8"/>
      <name val="Times New Roman"/>
      <family val="1"/>
    </font>
    <font>
      <b/>
      <i/>
      <sz val="11"/>
      <name val="Times New Roman"/>
      <family val="1"/>
    </font>
    <font>
      <b/>
      <i/>
      <sz val="11"/>
      <name val="Small Fonts"/>
      <family val="2"/>
    </font>
    <font>
      <b/>
      <u val="single"/>
      <sz val="10"/>
      <color indexed="8"/>
      <name val="Times New Roman"/>
      <family val="1"/>
    </font>
    <font>
      <b/>
      <u val="single"/>
      <sz val="10"/>
      <name val="Times New Roman"/>
      <family val="1"/>
    </font>
    <font>
      <b/>
      <i/>
      <sz val="11"/>
      <name val="Arial"/>
      <family val="0"/>
    </font>
    <font>
      <sz val="9"/>
      <name val="Arial"/>
      <family val="2"/>
    </font>
    <font>
      <u val="single"/>
      <sz val="10"/>
      <color indexed="8"/>
      <name val="Times New Roman"/>
      <family val="1"/>
    </font>
    <font>
      <sz val="11"/>
      <name val="Arial"/>
      <family val="2"/>
    </font>
    <font>
      <sz val="11"/>
      <name val="Times New Roman"/>
      <family val="1"/>
    </font>
    <font>
      <i/>
      <sz val="11"/>
      <name val="Arial"/>
      <family val="2"/>
    </font>
    <font>
      <sz val="9"/>
      <name val="Times New Roman"/>
      <family val="1"/>
    </font>
    <font>
      <b/>
      <sz val="10"/>
      <color indexed="8"/>
      <name val="Small Fonts"/>
      <family val="2"/>
    </font>
    <font>
      <sz val="12"/>
      <name val="Arial"/>
      <family val="2"/>
    </font>
    <font>
      <b/>
      <i/>
      <sz val="9"/>
      <name val="Arial"/>
      <family val="2"/>
    </font>
    <font>
      <sz val="13"/>
      <name val="Arial"/>
      <family val="2"/>
    </font>
    <font>
      <sz val="10"/>
      <color indexed="46"/>
      <name val="Arial"/>
      <family val="0"/>
    </font>
    <font>
      <sz val="11"/>
      <name val="C_ Times"/>
      <family val="0"/>
    </font>
    <font>
      <b/>
      <sz val="11"/>
      <name val="C_ Times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</fills>
  <borders count="10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/>
      <right/>
      <top style="medium"/>
      <bottom/>
    </border>
    <border>
      <left style="double"/>
      <right style="double"/>
      <top style="double"/>
      <bottom style="double"/>
    </border>
    <border>
      <left style="thin"/>
      <right style="thin"/>
      <top style="thin"/>
      <bottom>
        <color indexed="63"/>
      </bottom>
    </border>
    <border>
      <left/>
      <right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>
        <color indexed="63"/>
      </top>
      <bottom style="double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 style="thin"/>
      <bottom style="double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ck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ck"/>
      <top style="medium"/>
      <bottom>
        <color indexed="63"/>
      </bottom>
    </border>
    <border>
      <left style="medium"/>
      <right style="thick"/>
      <top style="medium"/>
      <bottom style="medium"/>
    </border>
    <border>
      <left style="thick"/>
      <right style="medium"/>
      <top>
        <color indexed="63"/>
      </top>
      <bottom>
        <color indexed="63"/>
      </bottom>
    </border>
    <border>
      <left style="thick"/>
      <right style="thin"/>
      <top style="medium"/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ck"/>
      <top style="thin"/>
      <bottom style="thin"/>
    </border>
    <border>
      <left style="thick"/>
      <right style="thin"/>
      <top>
        <color indexed="63"/>
      </top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ck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ck"/>
      <top style="medium"/>
      <bottom style="medium"/>
    </border>
    <border>
      <left style="double"/>
      <right>
        <color indexed="63"/>
      </right>
      <top style="double"/>
      <bottom style="double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ck"/>
      <right style="medium"/>
      <top style="medium"/>
      <bottom style="medium"/>
    </border>
    <border>
      <left style="thick"/>
      <right>
        <color indexed="63"/>
      </right>
      <top>
        <color indexed="63"/>
      </top>
      <bottom style="medium"/>
    </border>
    <border>
      <left style="thick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/>
      <right>
        <color indexed="63"/>
      </right>
      <top style="medium"/>
      <bottom style="medium"/>
    </border>
    <border>
      <left style="medium"/>
      <right style="thick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thick"/>
      <right style="thin"/>
      <top style="thin"/>
      <bottom style="thin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thin"/>
      <bottom style="thin"/>
    </border>
    <border>
      <left style="double"/>
      <right style="thin"/>
      <top style="double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9" borderId="0" applyNumberFormat="0" applyBorder="0" applyAlignment="0" applyProtection="0"/>
    <xf numFmtId="0" fontId="50" fillId="3" borderId="0" applyNumberFormat="0" applyBorder="0" applyAlignment="0" applyProtection="0"/>
    <xf numFmtId="0" fontId="51" fillId="20" borderId="1" applyNumberFormat="0" applyAlignment="0" applyProtection="0"/>
    <xf numFmtId="0" fontId="5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2" fontId="0" fillId="0" borderId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4" fillId="4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8" fillId="7" borderId="1" applyNumberFormat="0" applyAlignment="0" applyProtection="0"/>
    <xf numFmtId="0" fontId="59" fillId="0" borderId="6" applyNumberFormat="0" applyFill="0" applyAlignment="0" applyProtection="0"/>
    <xf numFmtId="0" fontId="60" fillId="22" borderId="0" applyNumberFormat="0" applyBorder="0" applyAlignment="0" applyProtection="0"/>
    <xf numFmtId="0" fontId="0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61" fillId="20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873">
    <xf numFmtId="0" fontId="0" fillId="0" borderId="0" xfId="0" applyAlignment="1">
      <alignment/>
    </xf>
    <xf numFmtId="0" fontId="9" fillId="24" borderId="10" xfId="0" applyFont="1" applyFill="1" applyBorder="1" applyAlignment="1" applyProtection="1">
      <alignment vertic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49" fontId="8" fillId="0" borderId="10" xfId="0" applyNumberFormat="1" applyFont="1" applyFill="1" applyBorder="1" applyAlignment="1" applyProtection="1">
      <alignment wrapText="1"/>
      <protection/>
    </xf>
    <xf numFmtId="49" fontId="13" fillId="0" borderId="10" xfId="0" applyNumberFormat="1" applyFont="1" applyFill="1" applyBorder="1" applyAlignment="1" applyProtection="1">
      <alignment wrapText="1"/>
      <protection/>
    </xf>
    <xf numFmtId="49" fontId="13" fillId="0" borderId="10" xfId="0" applyNumberFormat="1" applyFont="1" applyFill="1" applyBorder="1" applyAlignment="1" applyProtection="1">
      <alignment vertical="top" wrapText="1"/>
      <protection/>
    </xf>
    <xf numFmtId="49" fontId="13" fillId="0" borderId="10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Font="1" applyAlignment="1">
      <alignment/>
    </xf>
    <xf numFmtId="0" fontId="14" fillId="0" borderId="0" xfId="0" applyFont="1" applyAlignment="1" applyProtection="1">
      <alignment/>
      <protection/>
    </xf>
    <xf numFmtId="0" fontId="8" fillId="0" borderId="10" xfId="0" applyFont="1" applyBorder="1" applyAlignment="1" applyProtection="1">
      <alignment horizontal="center"/>
      <protection/>
    </xf>
    <xf numFmtId="0" fontId="0" fillId="0" borderId="10" xfId="0" applyBorder="1" applyAlignment="1">
      <alignment/>
    </xf>
    <xf numFmtId="0" fontId="0" fillId="0" borderId="0" xfId="0" applyFont="1" applyAlignment="1" applyProtection="1">
      <alignment/>
      <protection/>
    </xf>
    <xf numFmtId="0" fontId="8" fillId="0" borderId="10" xfId="0" applyFont="1" applyBorder="1" applyAlignment="1" applyProtection="1">
      <alignment/>
      <protection/>
    </xf>
    <xf numFmtId="3" fontId="6" fillId="0" borderId="10" xfId="0" applyNumberFormat="1" applyFont="1" applyBorder="1" applyAlignment="1" applyProtection="1">
      <alignment/>
      <protection/>
    </xf>
    <xf numFmtId="3" fontId="11" fillId="0" borderId="10" xfId="0" applyNumberFormat="1" applyFont="1" applyBorder="1" applyAlignment="1" applyProtection="1">
      <alignment/>
      <protection/>
    </xf>
    <xf numFmtId="0" fontId="10" fillId="24" borderId="10" xfId="0" applyFont="1" applyFill="1" applyBorder="1" applyAlignment="1" applyProtection="1">
      <alignment vertical="center" wrapText="1"/>
      <protection/>
    </xf>
    <xf numFmtId="3" fontId="0" fillId="0" borderId="0" xfId="0" applyNumberFormat="1" applyAlignment="1">
      <alignment/>
    </xf>
    <xf numFmtId="3" fontId="0" fillId="0" borderId="0" xfId="0" applyNumberFormat="1" applyAlignment="1" applyProtection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49" fontId="17" fillId="0" borderId="10" xfId="0" applyNumberFormat="1" applyFont="1" applyFill="1" applyBorder="1" applyAlignment="1" applyProtection="1">
      <alignment wrapText="1"/>
      <protection/>
    </xf>
    <xf numFmtId="3" fontId="14" fillId="0" borderId="0" xfId="0" applyNumberFormat="1" applyFont="1" applyAlignment="1">
      <alignment/>
    </xf>
    <xf numFmtId="0" fontId="14" fillId="0" borderId="0" xfId="0" applyFont="1" applyAlignment="1">
      <alignment/>
    </xf>
    <xf numFmtId="49" fontId="18" fillId="0" borderId="10" xfId="0" applyNumberFormat="1" applyFont="1" applyFill="1" applyBorder="1" applyAlignment="1" applyProtection="1">
      <alignment wrapText="1"/>
      <protection/>
    </xf>
    <xf numFmtId="0" fontId="20" fillId="0" borderId="0" xfId="0" applyFont="1" applyAlignment="1">
      <alignment/>
    </xf>
    <xf numFmtId="49" fontId="18" fillId="0" borderId="10" xfId="0" applyNumberFormat="1" applyFont="1" applyFill="1" applyBorder="1" applyAlignment="1" applyProtection="1">
      <alignment vertical="top" wrapText="1"/>
      <protection/>
    </xf>
    <xf numFmtId="49" fontId="18" fillId="0" borderId="10" xfId="0" applyNumberFormat="1" applyFont="1" applyFill="1" applyBorder="1" applyAlignment="1" applyProtection="1">
      <alignment horizontal="left" vertical="top" wrapText="1"/>
      <protection/>
    </xf>
    <xf numFmtId="49" fontId="0" fillId="0" borderId="0" xfId="0" applyNumberFormat="1" applyAlignment="1">
      <alignment/>
    </xf>
    <xf numFmtId="0" fontId="20" fillId="0" borderId="0" xfId="0" applyFont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3" fontId="6" fillId="25" borderId="10" xfId="0" applyNumberFormat="1" applyFont="1" applyFill="1" applyBorder="1" applyAlignment="1" applyProtection="1">
      <alignment/>
      <protection/>
    </xf>
    <xf numFmtId="0" fontId="7" fillId="0" borderId="0" xfId="0" applyFont="1" applyAlignment="1">
      <alignment/>
    </xf>
    <xf numFmtId="3" fontId="8" fillId="0" borderId="10" xfId="60" applyNumberFormat="1" applyFont="1" applyFill="1" applyBorder="1" applyAlignment="1" applyProtection="1">
      <alignment vertical="center"/>
      <protection/>
    </xf>
    <xf numFmtId="3" fontId="8" fillId="0" borderId="10" xfId="59" applyNumberFormat="1" applyFont="1" applyFill="1" applyBorder="1" applyAlignment="1" applyProtection="1">
      <alignment horizontal="left" vertical="center"/>
      <protection/>
    </xf>
    <xf numFmtId="3" fontId="0" fillId="0" borderId="0" xfId="0" applyNumberFormat="1" applyFill="1" applyAlignment="1">
      <alignment/>
    </xf>
    <xf numFmtId="49" fontId="8" fillId="0" borderId="10" xfId="6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49" fontId="19" fillId="0" borderId="10" xfId="0" applyNumberFormat="1" applyFont="1" applyFill="1" applyBorder="1" applyAlignment="1" applyProtection="1">
      <alignment horizontal="left" vertical="top" wrapText="1"/>
      <protection/>
    </xf>
    <xf numFmtId="3" fontId="0" fillId="0" borderId="10" xfId="0" applyNumberFormat="1" applyBorder="1" applyAlignment="1">
      <alignment/>
    </xf>
    <xf numFmtId="0" fontId="7" fillId="0" borderId="10" xfId="60" applyFont="1" applyFill="1" applyBorder="1" applyAlignment="1" applyProtection="1">
      <alignment vertical="center" wrapText="1"/>
      <protection/>
    </xf>
    <xf numFmtId="0" fontId="0" fillId="0" borderId="10" xfId="0" applyBorder="1" applyAlignment="1">
      <alignment horizontal="center"/>
    </xf>
    <xf numFmtId="49" fontId="19" fillId="0" borderId="10" xfId="0" applyNumberFormat="1" applyFont="1" applyFill="1" applyBorder="1" applyAlignment="1" applyProtection="1">
      <alignment wrapText="1"/>
      <protection/>
    </xf>
    <xf numFmtId="3" fontId="6" fillId="4" borderId="10" xfId="0" applyNumberFormat="1" applyFont="1" applyFill="1" applyBorder="1" applyAlignment="1" applyProtection="1">
      <alignment horizontal="right"/>
      <protection/>
    </xf>
    <xf numFmtId="3" fontId="6" fillId="25" borderId="10" xfId="0" applyNumberFormat="1" applyFont="1" applyFill="1" applyBorder="1" applyAlignment="1" applyProtection="1">
      <alignment horizontal="right"/>
      <protection/>
    </xf>
    <xf numFmtId="0" fontId="8" fillId="0" borderId="0" xfId="0" applyFont="1" applyAlignment="1">
      <alignment/>
    </xf>
    <xf numFmtId="49" fontId="23" fillId="0" borderId="10" xfId="0" applyNumberFormat="1" applyFont="1" applyFill="1" applyBorder="1" applyAlignment="1" applyProtection="1">
      <alignment wrapText="1"/>
      <protection/>
    </xf>
    <xf numFmtId="3" fontId="0" fillId="0" borderId="0" xfId="0" applyNumberFormat="1" applyFont="1" applyAlignment="1" applyProtection="1">
      <alignment/>
      <protection/>
    </xf>
    <xf numFmtId="3" fontId="0" fillId="26" borderId="0" xfId="0" applyNumberFormat="1" applyFill="1" applyAlignment="1">
      <alignment/>
    </xf>
    <xf numFmtId="49" fontId="8" fillId="0" borderId="10" xfId="0" applyNumberFormat="1" applyFont="1" applyFill="1" applyBorder="1" applyAlignment="1" applyProtection="1">
      <alignment horizontal="center" vertical="center" wrapText="1"/>
      <protection/>
    </xf>
    <xf numFmtId="3" fontId="6" fillId="0" borderId="10" xfId="0" applyNumberFormat="1" applyFont="1" applyFill="1" applyBorder="1" applyAlignment="1" applyProtection="1">
      <alignment/>
      <protection/>
    </xf>
    <xf numFmtId="3" fontId="11" fillId="0" borderId="10" xfId="0" applyNumberFormat="1" applyFont="1" applyFill="1" applyBorder="1" applyAlignment="1" applyProtection="1">
      <alignment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8" fillId="0" borderId="10" xfId="60" applyFont="1" applyFill="1" applyBorder="1" applyAlignment="1" applyProtection="1">
      <alignment vertical="center" wrapText="1"/>
      <protection/>
    </xf>
    <xf numFmtId="0" fontId="0" fillId="0" borderId="0" xfId="0" applyFont="1" applyFill="1" applyAlignment="1">
      <alignment/>
    </xf>
    <xf numFmtId="49" fontId="17" fillId="0" borderId="10" xfId="60" applyNumberFormat="1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1" fontId="0" fillId="0" borderId="10" xfId="0" applyNumberFormat="1" applyBorder="1" applyAlignment="1">
      <alignment/>
    </xf>
    <xf numFmtId="1" fontId="0" fillId="0" borderId="10" xfId="0" applyNumberFormat="1" applyFill="1" applyBorder="1" applyAlignment="1">
      <alignment/>
    </xf>
    <xf numFmtId="3" fontId="14" fillId="20" borderId="10" xfId="0" applyNumberFormat="1" applyFont="1" applyFill="1" applyBorder="1" applyAlignment="1">
      <alignment/>
    </xf>
    <xf numFmtId="3" fontId="0" fillId="25" borderId="10" xfId="0" applyNumberFormat="1" applyFill="1" applyBorder="1" applyAlignment="1">
      <alignment/>
    </xf>
    <xf numFmtId="0" fontId="14" fillId="0" borderId="10" xfId="0" applyFont="1" applyBorder="1" applyAlignment="1">
      <alignment horizontal="right"/>
    </xf>
    <xf numFmtId="3" fontId="14" fillId="20" borderId="11" xfId="0" applyNumberFormat="1" applyFont="1" applyFill="1" applyBorder="1" applyAlignment="1">
      <alignment/>
    </xf>
    <xf numFmtId="3" fontId="0" fillId="0" borderId="12" xfId="0" applyNumberFormat="1" applyBorder="1" applyAlignment="1">
      <alignment/>
    </xf>
    <xf numFmtId="0" fontId="0" fillId="0" borderId="13" xfId="0" applyBorder="1" applyAlignment="1">
      <alignment horizontal="right"/>
    </xf>
    <xf numFmtId="0" fontId="0" fillId="0" borderId="14" xfId="0" applyBorder="1" applyAlignment="1">
      <alignment/>
    </xf>
    <xf numFmtId="3" fontId="0" fillId="0" borderId="14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0" fontId="0" fillId="0" borderId="0" xfId="0" applyBorder="1" applyAlignment="1">
      <alignment horizontal="right"/>
    </xf>
    <xf numFmtId="3" fontId="0" fillId="0" borderId="0" xfId="0" applyNumberFormat="1" applyBorder="1" applyAlignment="1">
      <alignment/>
    </xf>
    <xf numFmtId="49" fontId="7" fillId="0" borderId="10" xfId="60" applyNumberFormat="1" applyFont="1" applyFill="1" applyBorder="1" applyAlignment="1" applyProtection="1">
      <alignment horizontal="center" vertical="center" wrapText="1"/>
      <protection/>
    </xf>
    <xf numFmtId="3" fontId="0" fillId="0" borderId="14" xfId="0" applyNumberFormat="1" applyFill="1" applyBorder="1" applyAlignment="1">
      <alignment/>
    </xf>
    <xf numFmtId="0" fontId="8" fillId="0" borderId="10" xfId="60" applyFont="1" applyFill="1" applyBorder="1">
      <alignment/>
      <protection/>
    </xf>
    <xf numFmtId="3" fontId="6" fillId="0" borderId="10" xfId="0" applyNumberFormat="1" applyFont="1" applyFill="1" applyBorder="1" applyAlignment="1" applyProtection="1">
      <alignment horizontal="right"/>
      <protection/>
    </xf>
    <xf numFmtId="0" fontId="6" fillId="0" borderId="10" xfId="0" applyFont="1" applyFill="1" applyBorder="1" applyAlignment="1" applyProtection="1">
      <alignment horizontal="right" vertical="center" wrapText="1"/>
      <protection/>
    </xf>
    <xf numFmtId="0" fontId="11" fillId="0" borderId="10" xfId="0" applyFont="1" applyFill="1" applyBorder="1" applyAlignment="1" applyProtection="1">
      <alignment horizontal="right" vertical="center" wrapText="1"/>
      <protection/>
    </xf>
    <xf numFmtId="0" fontId="6" fillId="0" borderId="10" xfId="0" applyFont="1" applyFill="1" applyBorder="1" applyAlignment="1" applyProtection="1">
      <alignment vertical="center" wrapText="1"/>
      <protection/>
    </xf>
    <xf numFmtId="0" fontId="15" fillId="0" borderId="10" xfId="60" applyFont="1" applyFill="1" applyBorder="1" applyAlignment="1" applyProtection="1">
      <alignment vertical="center" wrapText="1"/>
      <protection/>
    </xf>
    <xf numFmtId="0" fontId="0" fillId="0" borderId="10" xfId="0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49" fontId="2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0" fontId="14" fillId="0" borderId="10" xfId="0" applyFont="1" applyFill="1" applyBorder="1" applyAlignment="1">
      <alignment horizontal="center"/>
    </xf>
    <xf numFmtId="49" fontId="14" fillId="0" borderId="10" xfId="0" applyNumberFormat="1" applyFont="1" applyFill="1" applyBorder="1" applyAlignment="1">
      <alignment horizontal="center"/>
    </xf>
    <xf numFmtId="0" fontId="21" fillId="0" borderId="10" xfId="0" applyFont="1" applyFill="1" applyBorder="1" applyAlignment="1" applyProtection="1">
      <alignment horizontal="center"/>
      <protection/>
    </xf>
    <xf numFmtId="0" fontId="17" fillId="0" borderId="10" xfId="0" applyFont="1" applyFill="1" applyBorder="1" applyAlignment="1" applyProtection="1">
      <alignment horizontal="center"/>
      <protection/>
    </xf>
    <xf numFmtId="3" fontId="27" fillId="0" borderId="10" xfId="61" applyNumberFormat="1" applyFont="1" applyFill="1" applyBorder="1" applyAlignment="1">
      <alignment horizontal="left" vertical="center" wrapText="1"/>
      <protection/>
    </xf>
    <xf numFmtId="3" fontId="7" fillId="0" borderId="0" xfId="61" applyNumberFormat="1" applyFont="1" applyFill="1" applyBorder="1" applyAlignment="1">
      <alignment horizontal="left" vertical="center" wrapText="1"/>
      <protection/>
    </xf>
    <xf numFmtId="3" fontId="7" fillId="0" borderId="16" xfId="58" applyNumberFormat="1" applyFont="1" applyFill="1" applyBorder="1" applyAlignment="1">
      <alignment horizontal="left" vertical="center" wrapText="1"/>
      <protection/>
    </xf>
    <xf numFmtId="3" fontId="8" fillId="0" borderId="0" xfId="58" applyNumberFormat="1" applyFont="1" applyFill="1" applyBorder="1" applyAlignment="1">
      <alignment horizontal="left" vertical="center" wrapText="1"/>
      <protection/>
    </xf>
    <xf numFmtId="3" fontId="7" fillId="0" borderId="0" xfId="58" applyNumberFormat="1" applyFont="1" applyFill="1" applyBorder="1" applyAlignment="1">
      <alignment horizontal="left" vertical="center" wrapText="1"/>
      <protection/>
    </xf>
    <xf numFmtId="49" fontId="19" fillId="0" borderId="10" xfId="0" applyNumberFormat="1" applyFont="1" applyFill="1" applyBorder="1" applyAlignment="1" applyProtection="1">
      <alignment vertical="top" wrapText="1"/>
      <protection/>
    </xf>
    <xf numFmtId="49" fontId="19" fillId="0" borderId="10" xfId="0" applyNumberFormat="1" applyFont="1" applyFill="1" applyBorder="1" applyAlignment="1" applyProtection="1">
      <alignment horizontal="center" vertical="top" wrapText="1"/>
      <protection/>
    </xf>
    <xf numFmtId="49" fontId="13" fillId="0" borderId="0" xfId="0" applyNumberFormat="1" applyFont="1" applyFill="1" applyBorder="1" applyAlignment="1" applyProtection="1">
      <alignment horizontal="left" vertical="top" wrapText="1"/>
      <protection/>
    </xf>
    <xf numFmtId="0" fontId="14" fillId="0" borderId="11" xfId="0" applyFont="1" applyFill="1" applyBorder="1" applyAlignment="1">
      <alignment horizontal="center"/>
    </xf>
    <xf numFmtId="49" fontId="14" fillId="0" borderId="11" xfId="0" applyNumberFormat="1" applyFont="1" applyFill="1" applyBorder="1" applyAlignment="1">
      <alignment horizontal="center"/>
    </xf>
    <xf numFmtId="3" fontId="27" fillId="0" borderId="11" xfId="61" applyNumberFormat="1" applyFont="1" applyFill="1" applyBorder="1" applyAlignment="1">
      <alignment horizontal="left" vertical="center" wrapText="1"/>
      <protection/>
    </xf>
    <xf numFmtId="0" fontId="7" fillId="0" borderId="11" xfId="60" applyFont="1" applyFill="1" applyBorder="1" applyAlignment="1" applyProtection="1">
      <alignment vertical="center" wrapText="1"/>
      <protection/>
    </xf>
    <xf numFmtId="0" fontId="14" fillId="0" borderId="17" xfId="0" applyFont="1" applyFill="1" applyBorder="1" applyAlignment="1">
      <alignment horizontal="center"/>
    </xf>
    <xf numFmtId="49" fontId="14" fillId="0" borderId="17" xfId="0" applyNumberFormat="1" applyFont="1" applyFill="1" applyBorder="1" applyAlignment="1">
      <alignment horizontal="center"/>
    </xf>
    <xf numFmtId="0" fontId="27" fillId="0" borderId="17" xfId="0" applyFont="1" applyFill="1" applyBorder="1" applyAlignment="1" applyProtection="1">
      <alignment horizontal="center"/>
      <protection/>
    </xf>
    <xf numFmtId="0" fontId="21" fillId="0" borderId="17" xfId="0" applyFont="1" applyFill="1" applyBorder="1" applyAlignment="1" applyProtection="1">
      <alignment/>
      <protection/>
    </xf>
    <xf numFmtId="0" fontId="7" fillId="0" borderId="17" xfId="60" applyFont="1" applyFill="1" applyBorder="1" applyAlignment="1" applyProtection="1">
      <alignment vertical="center" wrapText="1"/>
      <protection/>
    </xf>
    <xf numFmtId="0" fontId="27" fillId="0" borderId="17" xfId="60" applyFont="1" applyFill="1" applyBorder="1" applyAlignment="1" applyProtection="1">
      <alignment horizontal="center" vertical="center" wrapText="1"/>
      <protection/>
    </xf>
    <xf numFmtId="3" fontId="17" fillId="0" borderId="17" xfId="60" applyNumberFormat="1" applyFont="1" applyFill="1" applyBorder="1" applyAlignment="1" applyProtection="1">
      <alignment vertical="center"/>
      <protection/>
    </xf>
    <xf numFmtId="49" fontId="28" fillId="0" borderId="17" xfId="0" applyNumberFormat="1" applyFont="1" applyFill="1" applyBorder="1" applyAlignment="1" applyProtection="1">
      <alignment horizontal="center" wrapText="1"/>
      <protection/>
    </xf>
    <xf numFmtId="0" fontId="29" fillId="0" borderId="17" xfId="0" applyFont="1" applyFill="1" applyBorder="1" applyAlignment="1">
      <alignment horizontal="center"/>
    </xf>
    <xf numFmtId="49" fontId="29" fillId="0" borderId="17" xfId="0" applyNumberFormat="1" applyFont="1" applyFill="1" applyBorder="1" applyAlignment="1">
      <alignment horizontal="center"/>
    </xf>
    <xf numFmtId="0" fontId="27" fillId="0" borderId="17" xfId="0" applyFont="1" applyFill="1" applyBorder="1" applyAlignment="1">
      <alignment horizontal="center"/>
    </xf>
    <xf numFmtId="49" fontId="27" fillId="0" borderId="17" xfId="0" applyNumberFormat="1" applyFont="1" applyFill="1" applyBorder="1" applyAlignment="1">
      <alignment horizontal="center"/>
    </xf>
    <xf numFmtId="0" fontId="17" fillId="0" borderId="10" xfId="0" applyFont="1" applyFill="1" applyBorder="1" applyAlignment="1" applyProtection="1">
      <alignment/>
      <protection/>
    </xf>
    <xf numFmtId="0" fontId="14" fillId="0" borderId="18" xfId="0" applyFont="1" applyFill="1" applyBorder="1" applyAlignment="1">
      <alignment horizontal="center"/>
    </xf>
    <xf numFmtId="49" fontId="14" fillId="0" borderId="18" xfId="0" applyNumberFormat="1" applyFont="1" applyFill="1" applyBorder="1" applyAlignment="1">
      <alignment horizontal="center"/>
    </xf>
    <xf numFmtId="0" fontId="21" fillId="0" borderId="17" xfId="0" applyFont="1" applyFill="1" applyBorder="1" applyAlignment="1" applyProtection="1">
      <alignment horizontal="center"/>
      <protection/>
    </xf>
    <xf numFmtId="0" fontId="7" fillId="0" borderId="10" xfId="0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 applyProtection="1">
      <alignment horizontal="center"/>
      <protection/>
    </xf>
    <xf numFmtId="0" fontId="7" fillId="0" borderId="17" xfId="0" applyFont="1" applyFill="1" applyBorder="1" applyAlignment="1">
      <alignment horizontal="center"/>
    </xf>
    <xf numFmtId="49" fontId="7" fillId="0" borderId="17" xfId="0" applyNumberFormat="1" applyFont="1" applyFill="1" applyBorder="1" applyAlignment="1">
      <alignment horizontal="center"/>
    </xf>
    <xf numFmtId="3" fontId="7" fillId="0" borderId="10" xfId="61" applyNumberFormat="1" applyFont="1" applyFill="1" applyBorder="1" applyAlignment="1">
      <alignment horizontal="left" vertical="center" wrapText="1"/>
      <protection/>
    </xf>
    <xf numFmtId="0" fontId="31" fillId="0" borderId="17" xfId="0" applyFont="1" applyFill="1" applyBorder="1" applyAlignment="1" applyProtection="1">
      <alignment horizontal="center" wrapText="1"/>
      <protection/>
    </xf>
    <xf numFmtId="0" fontId="19" fillId="0" borderId="19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vertical="center" wrapText="1"/>
    </xf>
    <xf numFmtId="0" fontId="27" fillId="0" borderId="17" xfId="0" applyFont="1" applyFill="1" applyBorder="1" applyAlignment="1" applyProtection="1">
      <alignment horizontal="center" wrapText="1"/>
      <protection/>
    </xf>
    <xf numFmtId="0" fontId="7" fillId="0" borderId="18" xfId="60" applyFont="1" applyFill="1" applyBorder="1" applyAlignment="1" applyProtection="1">
      <alignment vertical="center" wrapText="1"/>
      <protection/>
    </xf>
    <xf numFmtId="3" fontId="7" fillId="0" borderId="18" xfId="61" applyNumberFormat="1" applyFont="1" applyFill="1" applyBorder="1" applyAlignment="1">
      <alignment horizontal="left" vertical="center" wrapText="1"/>
      <protection/>
    </xf>
    <xf numFmtId="0" fontId="19" fillId="0" borderId="20" xfId="0" applyFont="1" applyFill="1" applyBorder="1" applyAlignment="1">
      <alignment vertical="center" wrapText="1"/>
    </xf>
    <xf numFmtId="49" fontId="17" fillId="0" borderId="11" xfId="0" applyNumberFormat="1" applyFont="1" applyFill="1" applyBorder="1" applyAlignment="1" applyProtection="1">
      <alignment wrapText="1"/>
      <protection/>
    </xf>
    <xf numFmtId="0" fontId="14" fillId="0" borderId="10" xfId="0" applyFont="1" applyFill="1" applyBorder="1" applyAlignment="1">
      <alignment horizontal="center"/>
    </xf>
    <xf numFmtId="0" fontId="0" fillId="4" borderId="0" xfId="0" applyFill="1" applyAlignment="1">
      <alignment/>
    </xf>
    <xf numFmtId="3" fontId="34" fillId="0" borderId="10" xfId="61" applyNumberFormat="1" applyFont="1" applyFill="1" applyBorder="1" applyAlignment="1">
      <alignment horizontal="left" vertical="center" wrapText="1"/>
      <protection/>
    </xf>
    <xf numFmtId="49" fontId="14" fillId="0" borderId="10" xfId="0" applyNumberFormat="1" applyFont="1" applyFill="1" applyBorder="1" applyAlignment="1">
      <alignment horizontal="center"/>
    </xf>
    <xf numFmtId="0" fontId="14" fillId="0" borderId="0" xfId="0" applyFont="1" applyFill="1" applyAlignment="1">
      <alignment/>
    </xf>
    <xf numFmtId="0" fontId="20" fillId="0" borderId="10" xfId="0" applyFont="1" applyFill="1" applyBorder="1" applyAlignment="1">
      <alignment horizontal="center"/>
    </xf>
    <xf numFmtId="0" fontId="18" fillId="0" borderId="10" xfId="0" applyFont="1" applyFill="1" applyBorder="1" applyAlignment="1" applyProtection="1">
      <alignment horizontal="center" wrapText="1"/>
      <protection/>
    </xf>
    <xf numFmtId="0" fontId="0" fillId="0" borderId="18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20" fillId="0" borderId="17" xfId="0" applyFont="1" applyFill="1" applyBorder="1" applyAlignment="1">
      <alignment horizontal="center"/>
    </xf>
    <xf numFmtId="49" fontId="0" fillId="0" borderId="17" xfId="0" applyNumberFormat="1" applyFont="1" applyFill="1" applyBorder="1" applyAlignment="1">
      <alignment horizontal="center"/>
    </xf>
    <xf numFmtId="49" fontId="8" fillId="0" borderId="17" xfId="60" applyNumberFormat="1" applyFont="1" applyFill="1" applyBorder="1" applyAlignment="1" applyProtection="1">
      <alignment horizontal="center" vertical="center" wrapText="1"/>
      <protection/>
    </xf>
    <xf numFmtId="0" fontId="30" fillId="0" borderId="17" xfId="0" applyFont="1" applyFill="1" applyBorder="1" applyAlignment="1">
      <alignment horizontal="center" vertical="center" wrapText="1"/>
    </xf>
    <xf numFmtId="3" fontId="7" fillId="0" borderId="17" xfId="60" applyNumberFormat="1" applyFont="1" applyFill="1" applyBorder="1" applyAlignment="1" applyProtection="1">
      <alignment vertical="center"/>
      <protection/>
    </xf>
    <xf numFmtId="0" fontId="35" fillId="0" borderId="17" xfId="0" applyFont="1" applyFill="1" applyBorder="1" applyAlignment="1">
      <alignment horizontal="center"/>
    </xf>
    <xf numFmtId="49" fontId="35" fillId="0" borderId="17" xfId="0" applyNumberFormat="1" applyFont="1" applyFill="1" applyBorder="1" applyAlignment="1">
      <alignment horizontal="center"/>
    </xf>
    <xf numFmtId="49" fontId="31" fillId="0" borderId="17" xfId="60" applyNumberFormat="1" applyFont="1" applyFill="1" applyBorder="1" applyAlignment="1" applyProtection="1">
      <alignment horizontal="center" vertical="center" wrapText="1"/>
      <protection/>
    </xf>
    <xf numFmtId="0" fontId="35" fillId="0" borderId="0" xfId="0" applyFont="1" applyFill="1" applyAlignment="1">
      <alignment/>
    </xf>
    <xf numFmtId="0" fontId="19" fillId="0" borderId="11" xfId="0" applyFont="1" applyFill="1" applyBorder="1" applyAlignment="1">
      <alignment vertical="center" wrapText="1"/>
    </xf>
    <xf numFmtId="0" fontId="20" fillId="0" borderId="17" xfId="0" applyFont="1" applyFill="1" applyBorder="1" applyAlignment="1" applyProtection="1">
      <alignment horizontal="center"/>
      <protection/>
    </xf>
    <xf numFmtId="49" fontId="20" fillId="0" borderId="17" xfId="0" applyNumberFormat="1" applyFont="1" applyFill="1" applyBorder="1" applyAlignment="1" applyProtection="1">
      <alignment horizontal="center"/>
      <protection/>
    </xf>
    <xf numFmtId="3" fontId="0" fillId="0" borderId="0" xfId="0" applyNumberFormat="1" applyFill="1" applyAlignment="1">
      <alignment horizontal="right"/>
    </xf>
    <xf numFmtId="0" fontId="0" fillId="0" borderId="0" xfId="0" applyFill="1" applyAlignment="1">
      <alignment horizontal="right"/>
    </xf>
    <xf numFmtId="3" fontId="0" fillId="0" borderId="21" xfId="0" applyNumberFormat="1" applyFill="1" applyBorder="1" applyAlignment="1">
      <alignment/>
    </xf>
    <xf numFmtId="3" fontId="0" fillId="0" borderId="0" xfId="0" applyNumberFormat="1" applyFill="1" applyBorder="1" applyAlignment="1">
      <alignment/>
    </xf>
    <xf numFmtId="3" fontId="14" fillId="22" borderId="10" xfId="0" applyNumberFormat="1" applyFont="1" applyFill="1" applyBorder="1" applyAlignment="1">
      <alignment/>
    </xf>
    <xf numFmtId="3" fontId="0" fillId="0" borderId="22" xfId="0" applyNumberFormat="1" applyBorder="1" applyAlignment="1">
      <alignment/>
    </xf>
    <xf numFmtId="0" fontId="14" fillId="0" borderId="0" xfId="0" applyFont="1" applyBorder="1" applyAlignment="1">
      <alignment horizontal="left"/>
    </xf>
    <xf numFmtId="3" fontId="14" fillId="20" borderId="18" xfId="0" applyNumberFormat="1" applyFont="1" applyFill="1" applyBorder="1" applyAlignment="1">
      <alignment/>
    </xf>
    <xf numFmtId="3" fontId="0" fillId="7" borderId="10" xfId="0" applyNumberFormat="1" applyFill="1" applyBorder="1" applyAlignment="1">
      <alignment/>
    </xf>
    <xf numFmtId="3" fontId="14" fillId="7" borderId="10" xfId="0" applyNumberFormat="1" applyFont="1" applyFill="1" applyBorder="1" applyAlignment="1">
      <alignment/>
    </xf>
    <xf numFmtId="3" fontId="14" fillId="7" borderId="18" xfId="0" applyNumberFormat="1" applyFont="1" applyFill="1" applyBorder="1" applyAlignment="1">
      <alignment/>
    </xf>
    <xf numFmtId="49" fontId="7" fillId="0" borderId="10" xfId="61" applyNumberFormat="1" applyFont="1" applyFill="1" applyBorder="1" applyAlignment="1">
      <alignment horizontal="left" vertical="center" wrapText="1"/>
      <protection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49" fontId="0" fillId="0" borderId="0" xfId="0" applyNumberFormat="1" applyFill="1" applyAlignment="1">
      <alignment/>
    </xf>
    <xf numFmtId="0" fontId="14" fillId="0" borderId="25" xfId="0" applyFont="1" applyBorder="1" applyAlignment="1">
      <alignment horizontal="center" vertical="center"/>
    </xf>
    <xf numFmtId="49" fontId="14" fillId="0" borderId="20" xfId="0" applyNumberFormat="1" applyFont="1" applyFill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3" fontId="7" fillId="0" borderId="26" xfId="61" applyNumberFormat="1" applyFont="1" applyFill="1" applyBorder="1" applyAlignment="1">
      <alignment horizontal="left" vertical="center" wrapText="1"/>
      <protection/>
    </xf>
    <xf numFmtId="0" fontId="13" fillId="0" borderId="26" xfId="0" applyFont="1" applyBorder="1" applyAlignment="1">
      <alignment wrapText="1"/>
    </xf>
    <xf numFmtId="49" fontId="13" fillId="0" borderId="10" xfId="0" applyNumberFormat="1" applyFont="1" applyFill="1" applyBorder="1" applyAlignment="1">
      <alignment wrapText="1"/>
    </xf>
    <xf numFmtId="0" fontId="13" fillId="0" borderId="26" xfId="0" applyFont="1" applyBorder="1" applyAlignment="1">
      <alignment vertical="center" wrapText="1"/>
    </xf>
    <xf numFmtId="49" fontId="13" fillId="0" borderId="10" xfId="0" applyNumberFormat="1" applyFont="1" applyFill="1" applyBorder="1" applyAlignment="1">
      <alignment vertical="center" wrapText="1"/>
    </xf>
    <xf numFmtId="0" fontId="13" fillId="0" borderId="26" xfId="0" applyFont="1" applyBorder="1" applyAlignment="1">
      <alignment vertical="top" wrapText="1"/>
    </xf>
    <xf numFmtId="49" fontId="13" fillId="0" borderId="10" xfId="0" applyNumberFormat="1" applyFont="1" applyFill="1" applyBorder="1" applyAlignment="1">
      <alignment vertical="top" wrapText="1"/>
    </xf>
    <xf numFmtId="0" fontId="13" fillId="0" borderId="26" xfId="0" applyFont="1" applyBorder="1" applyAlignment="1">
      <alignment horizontal="justify" vertical="top" wrapText="1"/>
    </xf>
    <xf numFmtId="49" fontId="13" fillId="0" borderId="10" xfId="0" applyNumberFormat="1" applyFont="1" applyFill="1" applyBorder="1" applyAlignment="1">
      <alignment horizontal="justify" vertical="top" wrapText="1"/>
    </xf>
    <xf numFmtId="49" fontId="36" fillId="0" borderId="10" xfId="0" applyNumberFormat="1" applyFont="1" applyFill="1" applyBorder="1" applyAlignment="1">
      <alignment/>
    </xf>
    <xf numFmtId="3" fontId="8" fillId="0" borderId="26" xfId="61" applyNumberFormat="1" applyFont="1" applyFill="1" applyBorder="1" applyAlignment="1">
      <alignment horizontal="left" vertical="center" wrapText="1"/>
      <protection/>
    </xf>
    <xf numFmtId="0" fontId="37" fillId="0" borderId="26" xfId="0" applyFont="1" applyBorder="1" applyAlignment="1">
      <alignment vertical="center" wrapText="1"/>
    </xf>
    <xf numFmtId="3" fontId="24" fillId="0" borderId="26" xfId="61" applyNumberFormat="1" applyFont="1" applyFill="1" applyBorder="1" applyAlignment="1">
      <alignment horizontal="left" vertical="center" wrapText="1"/>
      <protection/>
    </xf>
    <xf numFmtId="0" fontId="24" fillId="0" borderId="26" xfId="0" applyFont="1" applyBorder="1" applyAlignment="1">
      <alignment wrapText="1"/>
    </xf>
    <xf numFmtId="0" fontId="19" fillId="22" borderId="26" xfId="0" applyFont="1" applyFill="1" applyBorder="1" applyAlignment="1">
      <alignment vertical="top" wrapText="1"/>
    </xf>
    <xf numFmtId="49" fontId="19" fillId="22" borderId="10" xfId="0" applyNumberFormat="1" applyFont="1" applyFill="1" applyBorder="1" applyAlignment="1">
      <alignment vertical="top" wrapText="1"/>
    </xf>
    <xf numFmtId="49" fontId="8" fillId="0" borderId="10" xfId="61" applyNumberFormat="1" applyFont="1" applyFill="1" applyBorder="1" applyAlignment="1">
      <alignment horizontal="left" vertical="center" wrapText="1"/>
      <protection/>
    </xf>
    <xf numFmtId="0" fontId="19" fillId="22" borderId="26" xfId="0" applyFont="1" applyFill="1" applyBorder="1" applyAlignment="1">
      <alignment vertical="center"/>
    </xf>
    <xf numFmtId="49" fontId="19" fillId="22" borderId="10" xfId="0" applyNumberFormat="1" applyFont="1" applyFill="1" applyBorder="1" applyAlignment="1">
      <alignment vertical="center"/>
    </xf>
    <xf numFmtId="0" fontId="19" fillId="22" borderId="27" xfId="0" applyFont="1" applyFill="1" applyBorder="1" applyAlignment="1">
      <alignment wrapText="1"/>
    </xf>
    <xf numFmtId="49" fontId="14" fillId="22" borderId="28" xfId="0" applyNumberFormat="1" applyFont="1" applyFill="1" applyBorder="1" applyAlignment="1">
      <alignment/>
    </xf>
    <xf numFmtId="3" fontId="14" fillId="22" borderId="28" xfId="0" applyNumberFormat="1" applyFont="1" applyFill="1" applyBorder="1" applyAlignment="1">
      <alignment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49" fontId="14" fillId="0" borderId="17" xfId="0" applyNumberFormat="1" applyFont="1" applyFill="1" applyBorder="1" applyAlignment="1">
      <alignment horizontal="center"/>
    </xf>
    <xf numFmtId="49" fontId="14" fillId="0" borderId="0" xfId="0" applyNumberFormat="1" applyFont="1" applyAlignment="1">
      <alignment/>
    </xf>
    <xf numFmtId="49" fontId="0" fillId="0" borderId="17" xfId="0" applyNumberFormat="1" applyFont="1" applyFill="1" applyBorder="1" applyAlignment="1">
      <alignment horizontal="center"/>
    </xf>
    <xf numFmtId="49" fontId="0" fillId="0" borderId="11" xfId="0" applyNumberFormat="1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49" fontId="38" fillId="0" borderId="17" xfId="0" applyNumberFormat="1" applyFont="1" applyFill="1" applyBorder="1" applyAlignment="1">
      <alignment horizontal="center"/>
    </xf>
    <xf numFmtId="49" fontId="39" fillId="0" borderId="17" xfId="0" applyNumberFormat="1" applyFont="1" applyFill="1" applyBorder="1" applyAlignment="1">
      <alignment horizontal="center"/>
    </xf>
    <xf numFmtId="49" fontId="0" fillId="0" borderId="18" xfId="0" applyNumberFormat="1" applyFont="1" applyFill="1" applyBorder="1" applyAlignment="1">
      <alignment horizontal="center"/>
    </xf>
    <xf numFmtId="49" fontId="8" fillId="0" borderId="17" xfId="0" applyNumberFormat="1" applyFont="1" applyFill="1" applyBorder="1" applyAlignment="1">
      <alignment horizontal="center"/>
    </xf>
    <xf numFmtId="49" fontId="25" fillId="0" borderId="17" xfId="0" applyNumberFormat="1" applyFont="1" applyFill="1" applyBorder="1" applyAlignment="1" applyProtection="1">
      <alignment horizontal="center"/>
      <protection/>
    </xf>
    <xf numFmtId="49" fontId="40" fillId="0" borderId="17" xfId="0" applyNumberFormat="1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center"/>
    </xf>
    <xf numFmtId="0" fontId="25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49" fontId="0" fillId="0" borderId="17" xfId="0" applyNumberFormat="1" applyFont="1" applyFill="1" applyBorder="1" applyAlignment="1">
      <alignment horizontal="center"/>
    </xf>
    <xf numFmtId="49" fontId="0" fillId="0" borderId="11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17" xfId="0" applyNumberFormat="1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49" fontId="25" fillId="0" borderId="10" xfId="0" applyNumberFormat="1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49" fontId="0" fillId="0" borderId="11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25" fillId="0" borderId="10" xfId="0" applyNumberFormat="1" applyFont="1" applyFill="1" applyBorder="1" applyAlignment="1">
      <alignment horizontal="center"/>
    </xf>
    <xf numFmtId="49" fontId="0" fillId="0" borderId="11" xfId="0" applyNumberFormat="1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49" fontId="0" fillId="0" borderId="0" xfId="0" applyNumberFormat="1" applyFont="1" applyAlignment="1">
      <alignment/>
    </xf>
    <xf numFmtId="49" fontId="0" fillId="0" borderId="17" xfId="0" applyNumberFormat="1" applyFont="1" applyFill="1" applyBorder="1" applyAlignment="1" applyProtection="1">
      <alignment horizontal="center"/>
      <protection/>
    </xf>
    <xf numFmtId="49" fontId="0" fillId="0" borderId="17" xfId="0" applyNumberFormat="1" applyFont="1" applyFill="1" applyBorder="1" applyAlignment="1">
      <alignment horizontal="center"/>
    </xf>
    <xf numFmtId="3" fontId="41" fillId="0" borderId="18" xfId="60" applyNumberFormat="1" applyFont="1" applyFill="1" applyBorder="1" applyAlignment="1" applyProtection="1">
      <alignment horizontal="center" vertical="center"/>
      <protection/>
    </xf>
    <xf numFmtId="0" fontId="36" fillId="0" borderId="10" xfId="0" applyFont="1" applyBorder="1" applyAlignment="1">
      <alignment horizontal="center"/>
    </xf>
    <xf numFmtId="0" fontId="36" fillId="0" borderId="0" xfId="0" applyFont="1" applyAlignment="1">
      <alignment horizontal="center"/>
    </xf>
    <xf numFmtId="0" fontId="28" fillId="0" borderId="17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 applyProtection="1">
      <alignment horizontal="right" vertical="center" wrapText="1"/>
      <protection/>
    </xf>
    <xf numFmtId="0" fontId="6" fillId="0" borderId="10" xfId="0" applyFont="1" applyFill="1" applyBorder="1" applyAlignment="1" applyProtection="1">
      <alignment vertical="center"/>
      <protection/>
    </xf>
    <xf numFmtId="49" fontId="7" fillId="0" borderId="10" xfId="60" applyNumberFormat="1" applyFont="1" applyFill="1" applyBorder="1" applyAlignment="1" applyProtection="1">
      <alignment horizontal="center" vertical="center" textRotation="90" wrapText="1"/>
      <protection/>
    </xf>
    <xf numFmtId="0" fontId="7" fillId="0" borderId="10" xfId="60" applyFont="1" applyFill="1" applyBorder="1" applyAlignment="1" applyProtection="1">
      <alignment horizontal="center" vertical="center" wrapText="1"/>
      <protection/>
    </xf>
    <xf numFmtId="0" fontId="36" fillId="0" borderId="18" xfId="0" applyFont="1" applyFill="1" applyBorder="1" applyAlignment="1">
      <alignment horizontal="center"/>
    </xf>
    <xf numFmtId="49" fontId="36" fillId="0" borderId="18" xfId="0" applyNumberFormat="1" applyFont="1" applyFill="1" applyBorder="1" applyAlignment="1">
      <alignment horizontal="center"/>
    </xf>
    <xf numFmtId="49" fontId="36" fillId="0" borderId="18" xfId="0" applyNumberFormat="1" applyFont="1" applyFill="1" applyBorder="1" applyAlignment="1">
      <alignment horizontal="center"/>
    </xf>
    <xf numFmtId="49" fontId="41" fillId="0" borderId="18" xfId="60" applyNumberFormat="1" applyFont="1" applyFill="1" applyBorder="1" applyAlignment="1" applyProtection="1">
      <alignment horizontal="center" vertical="center" wrapText="1"/>
      <protection/>
    </xf>
    <xf numFmtId="0" fontId="41" fillId="0" borderId="18" xfId="60" applyFont="1" applyFill="1" applyBorder="1" applyAlignment="1" applyProtection="1">
      <alignment horizontal="center" vertical="center" wrapText="1"/>
      <protection/>
    </xf>
    <xf numFmtId="0" fontId="17" fillId="0" borderId="10" xfId="60" applyFont="1" applyFill="1" applyBorder="1" applyAlignment="1" applyProtection="1">
      <alignment horizontal="center" vertical="center" wrapText="1"/>
      <protection/>
    </xf>
    <xf numFmtId="0" fontId="17" fillId="0" borderId="10" xfId="60" applyFont="1" applyFill="1" applyBorder="1" applyAlignment="1" applyProtection="1">
      <alignment vertical="center" wrapText="1"/>
      <protection/>
    </xf>
    <xf numFmtId="0" fontId="8" fillId="0" borderId="0" xfId="60" applyFont="1" applyFill="1">
      <alignment/>
      <protection/>
    </xf>
    <xf numFmtId="49" fontId="21" fillId="0" borderId="10" xfId="60" applyNumberFormat="1" applyFont="1" applyFill="1" applyBorder="1" applyAlignment="1" applyProtection="1">
      <alignment horizontal="center" vertical="center" wrapText="1"/>
      <protection/>
    </xf>
    <xf numFmtId="0" fontId="17" fillId="0" borderId="10" xfId="0" applyFont="1" applyFill="1" applyBorder="1" applyAlignment="1" applyProtection="1">
      <alignment horizontal="left"/>
      <protection/>
    </xf>
    <xf numFmtId="0" fontId="8" fillId="0" borderId="10" xfId="0" applyFont="1" applyFill="1" applyBorder="1" applyAlignment="1" applyProtection="1">
      <alignment horizontal="left"/>
      <protection/>
    </xf>
    <xf numFmtId="0" fontId="33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 applyProtection="1">
      <alignment/>
      <protection/>
    </xf>
    <xf numFmtId="0" fontId="7" fillId="0" borderId="10" xfId="60" applyFont="1" applyFill="1" applyBorder="1">
      <alignment/>
      <protection/>
    </xf>
    <xf numFmtId="0" fontId="19" fillId="0" borderId="10" xfId="0" applyFont="1" applyFill="1" applyBorder="1" applyAlignment="1">
      <alignment vertical="center" wrapText="1"/>
    </xf>
    <xf numFmtId="49" fontId="17" fillId="0" borderId="10" xfId="0" applyNumberFormat="1" applyFont="1" applyFill="1" applyBorder="1" applyAlignment="1" applyProtection="1">
      <alignment horizontal="center" vertical="center" wrapText="1"/>
      <protection/>
    </xf>
    <xf numFmtId="0" fontId="17" fillId="0" borderId="10" xfId="0" applyFont="1" applyFill="1" applyBorder="1" applyAlignment="1" applyProtection="1">
      <alignment horizontal="left" vertical="center" wrapText="1"/>
      <protection/>
    </xf>
    <xf numFmtId="0" fontId="8" fillId="0" borderId="10" xfId="0" applyFont="1" applyFill="1" applyBorder="1" applyAlignment="1" applyProtection="1">
      <alignment horizontal="left" vertical="center" wrapText="1"/>
      <protection/>
    </xf>
    <xf numFmtId="49" fontId="0" fillId="0" borderId="10" xfId="0" applyNumberFormat="1" applyFont="1" applyFill="1" applyBorder="1" applyAlignment="1" applyProtection="1">
      <alignment horizontal="center"/>
      <protection/>
    </xf>
    <xf numFmtId="0" fontId="14" fillId="0" borderId="10" xfId="0" applyFont="1" applyFill="1" applyBorder="1" applyAlignment="1" applyProtection="1">
      <alignment horizontal="center"/>
      <protection/>
    </xf>
    <xf numFmtId="49" fontId="14" fillId="0" borderId="10" xfId="0" applyNumberFormat="1" applyFont="1" applyFill="1" applyBorder="1" applyAlignment="1" applyProtection="1">
      <alignment horizontal="center"/>
      <protection/>
    </xf>
    <xf numFmtId="49" fontId="0" fillId="0" borderId="10" xfId="0" applyNumberFormat="1" applyFont="1" applyFill="1" applyBorder="1" applyAlignment="1" applyProtection="1">
      <alignment horizontal="center"/>
      <protection/>
    </xf>
    <xf numFmtId="0" fontId="18" fillId="0" borderId="10" xfId="59" applyFont="1" applyFill="1" applyBorder="1" applyAlignment="1" applyProtection="1">
      <alignment horizontal="left" vertical="top" wrapText="1"/>
      <protection/>
    </xf>
    <xf numFmtId="0" fontId="17" fillId="0" borderId="11" xfId="0" applyFont="1" applyFill="1" applyBorder="1" applyAlignment="1" applyProtection="1">
      <alignment horizontal="left"/>
      <protection/>
    </xf>
    <xf numFmtId="0" fontId="0" fillId="0" borderId="0" xfId="0" applyFont="1" applyFill="1" applyAlignment="1">
      <alignment horizontal="center"/>
    </xf>
    <xf numFmtId="0" fontId="0" fillId="0" borderId="10" xfId="0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49" fontId="0" fillId="0" borderId="0" xfId="0" applyNumberFormat="1" applyFont="1" applyFill="1" applyAlignment="1">
      <alignment/>
    </xf>
    <xf numFmtId="49" fontId="14" fillId="0" borderId="0" xfId="0" applyNumberFormat="1" applyFont="1" applyFill="1" applyAlignment="1">
      <alignment/>
    </xf>
    <xf numFmtId="0" fontId="36" fillId="0" borderId="26" xfId="0" applyFont="1" applyBorder="1" applyAlignment="1">
      <alignment horizontal="center"/>
    </xf>
    <xf numFmtId="49" fontId="36" fillId="0" borderId="10" xfId="0" applyNumberFormat="1" applyFont="1" applyFill="1" applyBorder="1" applyAlignment="1">
      <alignment horizontal="center"/>
    </xf>
    <xf numFmtId="0" fontId="36" fillId="0" borderId="0" xfId="0" applyFont="1" applyAlignment="1">
      <alignment/>
    </xf>
    <xf numFmtId="3" fontId="24" fillId="0" borderId="26" xfId="61" applyNumberFormat="1" applyFont="1" applyFill="1" applyBorder="1" applyAlignment="1">
      <alignment horizontal="left" vertical="center" wrapText="1"/>
      <protection/>
    </xf>
    <xf numFmtId="0" fontId="36" fillId="0" borderId="18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49" fontId="26" fillId="0" borderId="11" xfId="0" applyNumberFormat="1" applyFont="1" applyFill="1" applyBorder="1" applyAlignment="1">
      <alignment horizontal="left" vertical="center"/>
    </xf>
    <xf numFmtId="49" fontId="26" fillId="0" borderId="0" xfId="0" applyNumberFormat="1" applyFont="1" applyFill="1" applyAlignment="1">
      <alignment horizontal="left" vertical="center"/>
    </xf>
    <xf numFmtId="0" fontId="0" fillId="0" borderId="10" xfId="0" applyFont="1" applyFill="1" applyBorder="1" applyAlignment="1">
      <alignment horizontal="center"/>
    </xf>
    <xf numFmtId="0" fontId="38" fillId="0" borderId="17" xfId="0" applyFont="1" applyFill="1" applyBorder="1" applyAlignment="1">
      <alignment horizontal="center"/>
    </xf>
    <xf numFmtId="0" fontId="39" fillId="0" borderId="17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49" fontId="26" fillId="0" borderId="10" xfId="0" applyNumberFormat="1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0" fillId="0" borderId="10" xfId="0" applyFont="1" applyFill="1" applyBorder="1" applyAlignment="1" applyProtection="1">
      <alignment horizontal="center"/>
      <protection/>
    </xf>
    <xf numFmtId="0" fontId="25" fillId="0" borderId="17" xfId="0" applyFont="1" applyFill="1" applyBorder="1" applyAlignment="1" applyProtection="1">
      <alignment horizontal="center"/>
      <protection/>
    </xf>
    <xf numFmtId="0" fontId="40" fillId="0" borderId="17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14" fillId="0" borderId="29" xfId="0" applyFont="1" applyFill="1" applyBorder="1" applyAlignment="1">
      <alignment horizontal="center"/>
    </xf>
    <xf numFmtId="49" fontId="0" fillId="0" borderId="29" xfId="0" applyNumberFormat="1" applyFont="1" applyFill="1" applyBorder="1" applyAlignment="1">
      <alignment horizontal="center"/>
    </xf>
    <xf numFmtId="49" fontId="26" fillId="0" borderId="29" xfId="0" applyNumberFormat="1" applyFont="1" applyFill="1" applyBorder="1" applyAlignment="1">
      <alignment horizontal="left" vertical="center"/>
    </xf>
    <xf numFmtId="49" fontId="14" fillId="0" borderId="29" xfId="0" applyNumberFormat="1" applyFont="1" applyFill="1" applyBorder="1" applyAlignment="1">
      <alignment horizontal="center"/>
    </xf>
    <xf numFmtId="49" fontId="14" fillId="0" borderId="29" xfId="0" applyNumberFormat="1" applyFont="1" applyFill="1" applyBorder="1" applyAlignment="1">
      <alignment horizontal="center"/>
    </xf>
    <xf numFmtId="3" fontId="27" fillId="0" borderId="29" xfId="61" applyNumberFormat="1" applyFont="1" applyFill="1" applyBorder="1" applyAlignment="1">
      <alignment horizontal="left" vertical="center" wrapText="1"/>
      <protection/>
    </xf>
    <xf numFmtId="0" fontId="7" fillId="0" borderId="29" xfId="60" applyFont="1" applyFill="1" applyBorder="1" applyAlignment="1" applyProtection="1">
      <alignment vertical="center" wrapText="1"/>
      <protection/>
    </xf>
    <xf numFmtId="3" fontId="7" fillId="0" borderId="10" xfId="58" applyNumberFormat="1" applyFont="1" applyFill="1" applyBorder="1" applyAlignment="1">
      <alignment horizontal="left" vertical="center" wrapText="1"/>
      <protection/>
    </xf>
    <xf numFmtId="3" fontId="8" fillId="0" borderId="10" xfId="58" applyNumberFormat="1" applyFont="1" applyFill="1" applyBorder="1" applyAlignment="1">
      <alignment horizontal="left" vertical="center" wrapText="1"/>
      <protection/>
    </xf>
    <xf numFmtId="0" fontId="19" fillId="0" borderId="10" xfId="0" applyFont="1" applyFill="1" applyBorder="1" applyAlignment="1">
      <alignment vertical="center" wrapText="1"/>
    </xf>
    <xf numFmtId="3" fontId="8" fillId="0" borderId="10" xfId="58" applyNumberFormat="1" applyFont="1" applyFill="1" applyBorder="1" applyAlignment="1">
      <alignment horizontal="left" vertical="center" wrapText="1"/>
      <protection/>
    </xf>
    <xf numFmtId="0" fontId="0" fillId="0" borderId="12" xfId="0" applyFont="1" applyFill="1" applyBorder="1" applyAlignment="1">
      <alignment horizontal="center"/>
    </xf>
    <xf numFmtId="49" fontId="0" fillId="0" borderId="12" xfId="0" applyNumberFormat="1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49" fontId="0" fillId="0" borderId="12" xfId="0" applyNumberFormat="1" applyFont="1" applyFill="1" applyBorder="1" applyAlignment="1">
      <alignment horizontal="center"/>
    </xf>
    <xf numFmtId="49" fontId="0" fillId="0" borderId="12" xfId="0" applyNumberFormat="1" applyFont="1" applyFill="1" applyBorder="1" applyAlignment="1">
      <alignment horizontal="center"/>
    </xf>
    <xf numFmtId="49" fontId="8" fillId="0" borderId="12" xfId="60" applyNumberFormat="1" applyFont="1" applyFill="1" applyBorder="1" applyAlignment="1" applyProtection="1">
      <alignment horizontal="center" vertical="center" wrapText="1"/>
      <protection/>
    </xf>
    <xf numFmtId="0" fontId="19" fillId="0" borderId="12" xfId="0" applyFont="1" applyFill="1" applyBorder="1" applyAlignment="1">
      <alignment vertical="center" wrapText="1"/>
    </xf>
    <xf numFmtId="49" fontId="0" fillId="0" borderId="29" xfId="0" applyNumberFormat="1" applyFont="1" applyFill="1" applyBorder="1" applyAlignment="1">
      <alignment horizontal="center"/>
    </xf>
    <xf numFmtId="49" fontId="0" fillId="0" borderId="29" xfId="0" applyNumberFormat="1" applyFont="1" applyFill="1" applyBorder="1" applyAlignment="1">
      <alignment horizontal="center"/>
    </xf>
    <xf numFmtId="49" fontId="0" fillId="0" borderId="12" xfId="0" applyNumberFormat="1" applyFont="1" applyFill="1" applyBorder="1" applyAlignment="1">
      <alignment horizontal="center"/>
    </xf>
    <xf numFmtId="49" fontId="13" fillId="0" borderId="12" xfId="0" applyNumberFormat="1" applyFont="1" applyFill="1" applyBorder="1" applyAlignment="1" applyProtection="1">
      <alignment horizontal="left" vertical="top" wrapText="1"/>
      <protection/>
    </xf>
    <xf numFmtId="0" fontId="0" fillId="0" borderId="29" xfId="0" applyFont="1" applyFill="1" applyBorder="1" applyAlignment="1">
      <alignment horizontal="center"/>
    </xf>
    <xf numFmtId="0" fontId="17" fillId="0" borderId="29" xfId="6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>
      <alignment horizontal="center"/>
    </xf>
    <xf numFmtId="49" fontId="0" fillId="0" borderId="12" xfId="0" applyNumberFormat="1" applyFont="1" applyFill="1" applyBorder="1" applyAlignment="1">
      <alignment horizontal="center"/>
    </xf>
    <xf numFmtId="0" fontId="14" fillId="0" borderId="30" xfId="0" applyFont="1" applyFill="1" applyBorder="1" applyAlignment="1">
      <alignment horizontal="center"/>
    </xf>
    <xf numFmtId="0" fontId="42" fillId="0" borderId="10" xfId="0" applyFont="1" applyFill="1" applyBorder="1" applyAlignment="1" applyProtection="1">
      <alignment horizontal="center" wrapText="1"/>
      <protection/>
    </xf>
    <xf numFmtId="0" fontId="14" fillId="0" borderId="12" xfId="0" applyFont="1" applyFill="1" applyBorder="1" applyAlignment="1">
      <alignment horizontal="center"/>
    </xf>
    <xf numFmtId="49" fontId="14" fillId="0" borderId="12" xfId="0" applyNumberFormat="1" applyFont="1" applyFill="1" applyBorder="1" applyAlignment="1">
      <alignment horizontal="center"/>
    </xf>
    <xf numFmtId="49" fontId="17" fillId="0" borderId="12" xfId="0" applyNumberFormat="1" applyFont="1" applyFill="1" applyBorder="1" applyAlignment="1" applyProtection="1">
      <alignment wrapText="1"/>
      <protection/>
    </xf>
    <xf numFmtId="49" fontId="0" fillId="0" borderId="29" xfId="0" applyNumberFormat="1" applyFont="1" applyFill="1" applyBorder="1" applyAlignment="1">
      <alignment horizontal="center"/>
    </xf>
    <xf numFmtId="0" fontId="17" fillId="0" borderId="10" xfId="0" applyFont="1" applyFill="1" applyBorder="1" applyAlignment="1" applyProtection="1">
      <alignment horizontal="center" wrapText="1"/>
      <protection/>
    </xf>
    <xf numFmtId="0" fontId="8" fillId="0" borderId="12" xfId="60" applyFont="1" applyFill="1" applyBorder="1" applyAlignment="1" applyProtection="1">
      <alignment vertical="center" wrapText="1"/>
      <protection/>
    </xf>
    <xf numFmtId="49" fontId="8" fillId="0" borderId="10" xfId="61" applyNumberFormat="1" applyFont="1" applyFill="1" applyBorder="1" applyAlignment="1">
      <alignment horizontal="center" vertical="center" wrapText="1"/>
      <protection/>
    </xf>
    <xf numFmtId="49" fontId="13" fillId="0" borderId="12" xfId="0" applyNumberFormat="1" applyFont="1" applyFill="1" applyBorder="1" applyAlignment="1" applyProtection="1">
      <alignment vertical="top" wrapText="1"/>
      <protection/>
    </xf>
    <xf numFmtId="0" fontId="13" fillId="0" borderId="10" xfId="0" applyFont="1" applyFill="1" applyBorder="1" applyAlignment="1">
      <alignment vertical="center" wrapText="1"/>
    </xf>
    <xf numFmtId="49" fontId="7" fillId="0" borderId="12" xfId="60" applyNumberFormat="1" applyFont="1" applyFill="1" applyBorder="1" applyAlignment="1" applyProtection="1">
      <alignment horizontal="center" vertical="center" wrapText="1"/>
      <protection/>
    </xf>
    <xf numFmtId="0" fontId="19" fillId="0" borderId="12" xfId="0" applyFont="1" applyFill="1" applyBorder="1" applyAlignment="1">
      <alignment vertical="center" wrapText="1"/>
    </xf>
    <xf numFmtId="49" fontId="0" fillId="0" borderId="29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4" fillId="0" borderId="0" xfId="0" applyFont="1" applyFill="1" applyBorder="1" applyAlignment="1">
      <alignment horizontal="right"/>
    </xf>
    <xf numFmtId="3" fontId="14" fillId="0" borderId="0" xfId="0" applyNumberFormat="1" applyFont="1" applyFill="1" applyBorder="1" applyAlignment="1">
      <alignment/>
    </xf>
    <xf numFmtId="0" fontId="14" fillId="0" borderId="31" xfId="0" applyFont="1" applyFill="1" applyBorder="1" applyAlignment="1">
      <alignment horizontal="center" vertical="center"/>
    </xf>
    <xf numFmtId="3" fontId="14" fillId="0" borderId="32" xfId="0" applyNumberFormat="1" applyFont="1" applyFill="1" applyBorder="1" applyAlignment="1">
      <alignment horizontal="center" vertical="center" wrapText="1"/>
    </xf>
    <xf numFmtId="3" fontId="14" fillId="0" borderId="33" xfId="0" applyNumberFormat="1" applyFont="1" applyFill="1" applyBorder="1" applyAlignment="1">
      <alignment horizontal="center" vertical="center" wrapText="1"/>
    </xf>
    <xf numFmtId="0" fontId="14" fillId="0" borderId="34" xfId="0" applyFont="1" applyFill="1" applyBorder="1" applyAlignment="1">
      <alignment horizontal="right"/>
    </xf>
    <xf numFmtId="0" fontId="0" fillId="0" borderId="35" xfId="0" applyFont="1" applyFill="1" applyBorder="1" applyAlignment="1">
      <alignment/>
    </xf>
    <xf numFmtId="0" fontId="0" fillId="0" borderId="30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0" fillId="0" borderId="37" xfId="0" applyFont="1" applyFill="1" applyBorder="1" applyAlignment="1">
      <alignment/>
    </xf>
    <xf numFmtId="3" fontId="0" fillId="0" borderId="11" xfId="0" applyNumberFormat="1" applyFill="1" applyBorder="1" applyAlignment="1">
      <alignment horizontal="center"/>
    </xf>
    <xf numFmtId="3" fontId="0" fillId="0" borderId="38" xfId="0" applyNumberFormat="1" applyFill="1" applyBorder="1" applyAlignment="1">
      <alignment horizontal="center"/>
    </xf>
    <xf numFmtId="3" fontId="0" fillId="0" borderId="10" xfId="0" applyNumberFormat="1" applyFill="1" applyBorder="1" applyAlignment="1">
      <alignment horizontal="center"/>
    </xf>
    <xf numFmtId="3" fontId="0" fillId="0" borderId="14" xfId="0" applyNumberFormat="1" applyFill="1" applyBorder="1" applyAlignment="1">
      <alignment horizontal="center"/>
    </xf>
    <xf numFmtId="3" fontId="0" fillId="0" borderId="18" xfId="0" applyNumberFormat="1" applyFill="1" applyBorder="1" applyAlignment="1">
      <alignment horizontal="center"/>
    </xf>
    <xf numFmtId="3" fontId="0" fillId="0" borderId="39" xfId="0" applyNumberFormat="1" applyFill="1" applyBorder="1" applyAlignment="1">
      <alignment horizontal="center"/>
    </xf>
    <xf numFmtId="3" fontId="0" fillId="0" borderId="12" xfId="0" applyNumberFormat="1" applyFill="1" applyBorder="1" applyAlignment="1">
      <alignment horizontal="center"/>
    </xf>
    <xf numFmtId="3" fontId="0" fillId="0" borderId="15" xfId="0" applyNumberFormat="1" applyFill="1" applyBorder="1" applyAlignment="1">
      <alignment horizontal="center"/>
    </xf>
    <xf numFmtId="3" fontId="0" fillId="0" borderId="40" xfId="0" applyNumberFormat="1" applyFill="1" applyBorder="1" applyAlignment="1">
      <alignment horizontal="center"/>
    </xf>
    <xf numFmtId="3" fontId="0" fillId="0" borderId="41" xfId="0" applyNumberFormat="1" applyFill="1" applyBorder="1" applyAlignment="1">
      <alignment horizontal="center"/>
    </xf>
    <xf numFmtId="49" fontId="0" fillId="0" borderId="18" xfId="0" applyNumberFormat="1" applyFont="1" applyFill="1" applyBorder="1" applyAlignment="1">
      <alignment horizontal="center"/>
    </xf>
    <xf numFmtId="49" fontId="8" fillId="0" borderId="11" xfId="60" applyNumberFormat="1" applyFont="1" applyFill="1" applyBorder="1" applyAlignment="1" applyProtection="1">
      <alignment horizontal="center" vertical="center" wrapText="1"/>
      <protection/>
    </xf>
    <xf numFmtId="0" fontId="0" fillId="26" borderId="17" xfId="0" applyFont="1" applyFill="1" applyBorder="1" applyAlignment="1">
      <alignment horizontal="center"/>
    </xf>
    <xf numFmtId="49" fontId="0" fillId="26" borderId="17" xfId="0" applyNumberFormat="1" applyFont="1" applyFill="1" applyBorder="1" applyAlignment="1">
      <alignment horizontal="center"/>
    </xf>
    <xf numFmtId="0" fontId="0" fillId="26" borderId="17" xfId="0" applyFont="1" applyFill="1" applyBorder="1" applyAlignment="1">
      <alignment horizontal="center"/>
    </xf>
    <xf numFmtId="49" fontId="0" fillId="26" borderId="17" xfId="0" applyNumberFormat="1" applyFont="1" applyFill="1" applyBorder="1" applyAlignment="1">
      <alignment horizontal="center"/>
    </xf>
    <xf numFmtId="49" fontId="0" fillId="26" borderId="17" xfId="0" applyNumberFormat="1" applyFont="1" applyFill="1" applyBorder="1" applyAlignment="1">
      <alignment horizontal="center"/>
    </xf>
    <xf numFmtId="49" fontId="7" fillId="26" borderId="17" xfId="60" applyNumberFormat="1" applyFont="1" applyFill="1" applyBorder="1" applyAlignment="1" applyProtection="1">
      <alignment horizontal="center" vertical="center" wrapText="1"/>
      <protection/>
    </xf>
    <xf numFmtId="49" fontId="8" fillId="26" borderId="17" xfId="60" applyNumberFormat="1" applyFont="1" applyFill="1" applyBorder="1" applyAlignment="1" applyProtection="1">
      <alignment horizontal="center" vertical="center" wrapText="1"/>
      <protection/>
    </xf>
    <xf numFmtId="0" fontId="19" fillId="26" borderId="17" xfId="0" applyFont="1" applyFill="1" applyBorder="1" applyAlignment="1">
      <alignment horizontal="left" vertical="center" wrapText="1"/>
    </xf>
    <xf numFmtId="0" fontId="16" fillId="24" borderId="42" xfId="0" applyFont="1" applyFill="1" applyBorder="1" applyAlignment="1" applyProtection="1">
      <alignment horizontal="center" vertical="center" textRotation="90" wrapText="1"/>
      <protection/>
    </xf>
    <xf numFmtId="0" fontId="16" fillId="24" borderId="43" xfId="0" applyFont="1" applyFill="1" applyBorder="1" applyAlignment="1" applyProtection="1">
      <alignment horizontal="center" vertical="center" textRotation="90" wrapText="1"/>
      <protection/>
    </xf>
    <xf numFmtId="0" fontId="16" fillId="24" borderId="43" xfId="0" applyFont="1" applyFill="1" applyBorder="1" applyAlignment="1" applyProtection="1">
      <alignment horizontal="center" vertical="center" wrapText="1"/>
      <protection/>
    </xf>
    <xf numFmtId="0" fontId="29" fillId="24" borderId="44" xfId="0" applyFont="1" applyFill="1" applyBorder="1" applyAlignment="1" applyProtection="1">
      <alignment horizontal="center" vertical="center" wrapText="1"/>
      <protection/>
    </xf>
    <xf numFmtId="0" fontId="16" fillId="24" borderId="44" xfId="0" applyFont="1" applyFill="1" applyBorder="1" applyAlignment="1" applyProtection="1">
      <alignment horizontal="center" vertical="center" wrapText="1"/>
      <protection locked="0"/>
    </xf>
    <xf numFmtId="0" fontId="16" fillId="24" borderId="45" xfId="0" applyFont="1" applyFill="1" applyBorder="1" applyAlignment="1" applyProtection="1">
      <alignment horizontal="center" vertical="center" wrapText="1"/>
      <protection locked="0"/>
    </xf>
    <xf numFmtId="4" fontId="16" fillId="24" borderId="45" xfId="0" applyNumberFormat="1" applyFont="1" applyFill="1" applyBorder="1" applyAlignment="1" applyProtection="1">
      <alignment horizontal="center" vertical="center" wrapText="1"/>
      <protection locked="0"/>
    </xf>
    <xf numFmtId="10" fontId="16" fillId="24" borderId="46" xfId="0" applyNumberFormat="1" applyFont="1" applyFill="1" applyBorder="1" applyAlignment="1" applyProtection="1">
      <alignment horizontal="center" vertical="center" wrapText="1"/>
      <protection locked="0"/>
    </xf>
    <xf numFmtId="0" fontId="44" fillId="24" borderId="42" xfId="0" applyFont="1" applyFill="1" applyBorder="1" applyAlignment="1" applyProtection="1">
      <alignment horizontal="center" vertical="center" wrapText="1"/>
      <protection/>
    </xf>
    <xf numFmtId="0" fontId="44" fillId="24" borderId="45" xfId="0" applyFont="1" applyFill="1" applyBorder="1" applyAlignment="1" applyProtection="1">
      <alignment horizontal="center" vertical="center" wrapText="1"/>
      <protection/>
    </xf>
    <xf numFmtId="0" fontId="44" fillId="24" borderId="45" xfId="0" applyFont="1" applyFill="1" applyBorder="1" applyAlignment="1" applyProtection="1">
      <alignment horizontal="center" vertical="center"/>
      <protection/>
    </xf>
    <xf numFmtId="4" fontId="44" fillId="24" borderId="47" xfId="0" applyNumberFormat="1" applyFont="1" applyFill="1" applyBorder="1" applyAlignment="1" applyProtection="1">
      <alignment horizontal="center"/>
      <protection locked="0"/>
    </xf>
    <xf numFmtId="10" fontId="44" fillId="24" borderId="48" xfId="0" applyNumberFormat="1" applyFont="1" applyFill="1" applyBorder="1" applyAlignment="1" applyProtection="1">
      <alignment horizontal="center"/>
      <protection locked="0"/>
    </xf>
    <xf numFmtId="0" fontId="2" fillId="24" borderId="42" xfId="0" applyFont="1" applyFill="1" applyBorder="1" applyAlignment="1" applyProtection="1">
      <alignment horizontal="center" vertical="center" wrapText="1"/>
      <protection/>
    </xf>
    <xf numFmtId="10" fontId="43" fillId="24" borderId="49" xfId="0" applyNumberFormat="1" applyFont="1" applyFill="1" applyBorder="1" applyAlignment="1" applyProtection="1">
      <alignment horizontal="center" vertical="center"/>
      <protection locked="0"/>
    </xf>
    <xf numFmtId="0" fontId="2" fillId="24" borderId="50" xfId="0" applyFont="1" applyFill="1" applyBorder="1" applyAlignment="1" applyProtection="1">
      <alignment horizontal="center" vertical="center" wrapText="1"/>
      <protection/>
    </xf>
    <xf numFmtId="0" fontId="45" fillId="24" borderId="45" xfId="0" applyFont="1" applyFill="1" applyBorder="1" applyAlignment="1" applyProtection="1">
      <alignment horizontal="center" vertical="center" wrapText="1"/>
      <protection/>
    </xf>
    <xf numFmtId="0" fontId="45" fillId="24" borderId="45" xfId="0" applyFont="1" applyFill="1" applyBorder="1" applyAlignment="1" applyProtection="1">
      <alignment horizontal="left" vertical="center" wrapText="1"/>
      <protection/>
    </xf>
    <xf numFmtId="10" fontId="16" fillId="24" borderId="47" xfId="0" applyNumberFormat="1" applyFont="1" applyFill="1" applyBorder="1" applyAlignment="1" applyProtection="1">
      <alignment horizontal="center" vertical="center"/>
      <protection locked="0"/>
    </xf>
    <xf numFmtId="0" fontId="10" fillId="0" borderId="51" xfId="0" applyFont="1" applyFill="1" applyBorder="1" applyAlignment="1" applyProtection="1">
      <alignment horizontal="center" vertical="center" wrapText="1"/>
      <protection locked="0"/>
    </xf>
    <xf numFmtId="0" fontId="0" fillId="0" borderId="20" xfId="0" applyFont="1" applyFill="1" applyBorder="1" applyAlignment="1" applyProtection="1">
      <alignment horizontal="right" vertical="center" wrapText="1"/>
      <protection locked="0"/>
    </xf>
    <xf numFmtId="0" fontId="0" fillId="0" borderId="20" xfId="0" applyFont="1" applyFill="1" applyBorder="1" applyAlignment="1" applyProtection="1">
      <alignment horizontal="left" vertical="center" wrapText="1"/>
      <protection locked="0"/>
    </xf>
    <xf numFmtId="10" fontId="43" fillId="0" borderId="11" xfId="0" applyNumberFormat="1" applyFont="1" applyFill="1" applyBorder="1" applyAlignment="1" applyProtection="1">
      <alignment horizontal="center" vertical="center"/>
      <protection locked="0"/>
    </xf>
    <xf numFmtId="10" fontId="43" fillId="0" borderId="52" xfId="0" applyNumberFormat="1" applyFont="1" applyBorder="1" applyAlignment="1" applyProtection="1">
      <alignment horizontal="center" vertical="center"/>
      <protection locked="0"/>
    </xf>
    <xf numFmtId="0" fontId="0" fillId="0" borderId="53" xfId="0" applyBorder="1" applyAlignment="1" applyProtection="1">
      <alignment vertical="center"/>
      <protection locked="0"/>
    </xf>
    <xf numFmtId="0" fontId="0" fillId="0" borderId="54" xfId="0" applyFont="1" applyFill="1" applyBorder="1" applyAlignment="1" applyProtection="1">
      <alignment vertical="center" wrapText="1"/>
      <protection locked="0"/>
    </xf>
    <xf numFmtId="10" fontId="43" fillId="0" borderId="10" xfId="0" applyNumberFormat="1" applyFont="1" applyFill="1" applyBorder="1" applyAlignment="1" applyProtection="1">
      <alignment horizontal="center" vertical="center"/>
      <protection locked="0"/>
    </xf>
    <xf numFmtId="10" fontId="43" fillId="0" borderId="55" xfId="0" applyNumberFormat="1" applyFont="1" applyBorder="1" applyAlignment="1" applyProtection="1">
      <alignment horizontal="center" vertical="center"/>
      <protection locked="0"/>
    </xf>
    <xf numFmtId="0" fontId="0" fillId="0" borderId="53" xfId="0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 applyProtection="1">
      <alignment vertical="center" wrapText="1"/>
      <protection locked="0"/>
    </xf>
    <xf numFmtId="0" fontId="0" fillId="0" borderId="56" xfId="0" applyFill="1" applyBorder="1" applyAlignment="1" applyProtection="1">
      <alignment horizontal="center" vertical="center" wrapText="1"/>
      <protection locked="0"/>
    </xf>
    <xf numFmtId="0" fontId="0" fillId="0" borderId="28" xfId="0" applyFill="1" applyBorder="1" applyAlignment="1" applyProtection="1">
      <alignment vertical="center" wrapText="1"/>
      <protection locked="0"/>
    </xf>
    <xf numFmtId="10" fontId="43" fillId="0" borderId="54" xfId="0" applyNumberFormat="1" applyFont="1" applyFill="1" applyBorder="1" applyAlignment="1" applyProtection="1">
      <alignment horizontal="center" vertical="center"/>
      <protection locked="0"/>
    </xf>
    <xf numFmtId="10" fontId="43" fillId="0" borderId="57" xfId="0" applyNumberFormat="1" applyFont="1" applyBorder="1" applyAlignment="1" applyProtection="1">
      <alignment horizontal="center" vertical="center"/>
      <protection locked="0"/>
    </xf>
    <xf numFmtId="0" fontId="0" fillId="24" borderId="58" xfId="0" applyFill="1" applyBorder="1" applyAlignment="1" applyProtection="1">
      <alignment horizontal="center" vertical="center" wrapText="1"/>
      <protection locked="0"/>
    </xf>
    <xf numFmtId="0" fontId="0" fillId="24" borderId="59" xfId="0" applyFill="1" applyBorder="1" applyAlignment="1" applyProtection="1">
      <alignment vertical="center" wrapText="1"/>
      <protection locked="0"/>
    </xf>
    <xf numFmtId="0" fontId="0" fillId="24" borderId="60" xfId="0" applyFill="1" applyBorder="1" applyAlignment="1" applyProtection="1">
      <alignment vertical="center" wrapText="1"/>
      <protection locked="0"/>
    </xf>
    <xf numFmtId="4" fontId="43" fillId="24" borderId="61" xfId="0" applyNumberFormat="1" applyFont="1" applyFill="1" applyBorder="1" applyAlignment="1" applyProtection="1">
      <alignment horizontal="right" vertical="center"/>
      <protection locked="0"/>
    </xf>
    <xf numFmtId="10" fontId="43" fillId="24" borderId="54" xfId="0" applyNumberFormat="1" applyFont="1" applyFill="1" applyBorder="1" applyAlignment="1" applyProtection="1">
      <alignment horizontal="center" vertical="center"/>
      <protection locked="0"/>
    </xf>
    <xf numFmtId="10" fontId="43" fillId="24" borderId="62" xfId="0" applyNumberFormat="1" applyFont="1" applyFill="1" applyBorder="1" applyAlignment="1" applyProtection="1">
      <alignment horizontal="center" vertical="center"/>
      <protection locked="0"/>
    </xf>
    <xf numFmtId="0" fontId="0" fillId="24" borderId="51" xfId="0" applyFill="1" applyBorder="1" applyAlignment="1" applyProtection="1">
      <alignment horizontal="center" vertical="center" wrapText="1"/>
      <protection locked="0"/>
    </xf>
    <xf numFmtId="0" fontId="0" fillId="24" borderId="20" xfId="0" applyFill="1" applyBorder="1" applyAlignment="1" applyProtection="1">
      <alignment vertical="center" wrapText="1"/>
      <protection locked="0"/>
    </xf>
    <xf numFmtId="4" fontId="43" fillId="24" borderId="20" xfId="0" applyNumberFormat="1" applyFont="1" applyFill="1" applyBorder="1" applyAlignment="1" applyProtection="1">
      <alignment horizontal="right" vertical="center"/>
      <protection locked="0"/>
    </xf>
    <xf numFmtId="10" fontId="43" fillId="24" borderId="63" xfId="0" applyNumberFormat="1" applyFont="1" applyFill="1" applyBorder="1" applyAlignment="1" applyProtection="1">
      <alignment horizontal="center" vertical="center"/>
      <protection locked="0"/>
    </xf>
    <xf numFmtId="10" fontId="43" fillId="24" borderId="52" xfId="0" applyNumberFormat="1" applyFont="1" applyFill="1" applyBorder="1" applyAlignment="1" applyProtection="1">
      <alignment horizontal="center" vertical="center"/>
      <protection locked="0"/>
    </xf>
    <xf numFmtId="0" fontId="0" fillId="24" borderId="53" xfId="0" applyFill="1" applyBorder="1" applyAlignment="1" applyProtection="1">
      <alignment horizontal="center" vertical="center" wrapText="1"/>
      <protection locked="0"/>
    </xf>
    <xf numFmtId="0" fontId="0" fillId="24" borderId="10" xfId="0" applyFill="1" applyBorder="1" applyAlignment="1" applyProtection="1">
      <alignment vertical="center" wrapText="1"/>
      <protection locked="0"/>
    </xf>
    <xf numFmtId="4" fontId="43" fillId="24" borderId="10" xfId="0" applyNumberFormat="1" applyFont="1" applyFill="1" applyBorder="1" applyAlignment="1" applyProtection="1">
      <alignment horizontal="right" vertical="center"/>
      <protection locked="0"/>
    </xf>
    <xf numFmtId="10" fontId="43" fillId="24" borderId="64" xfId="0" applyNumberFormat="1" applyFont="1" applyFill="1" applyBorder="1" applyAlignment="1" applyProtection="1">
      <alignment horizontal="center" vertical="center"/>
      <protection locked="0"/>
    </xf>
    <xf numFmtId="10" fontId="43" fillId="24" borderId="55" xfId="0" applyNumberFormat="1" applyFont="1" applyFill="1" applyBorder="1" applyAlignment="1" applyProtection="1">
      <alignment horizontal="center" vertical="center"/>
      <protection locked="0"/>
    </xf>
    <xf numFmtId="4" fontId="43" fillId="24" borderId="28" xfId="0" applyNumberFormat="1" applyFont="1" applyFill="1" applyBorder="1" applyAlignment="1" applyProtection="1">
      <alignment horizontal="right" vertical="center"/>
      <protection locked="0"/>
    </xf>
    <xf numFmtId="10" fontId="43" fillId="24" borderId="24" xfId="0" applyNumberFormat="1" applyFont="1" applyFill="1" applyBorder="1" applyAlignment="1" applyProtection="1">
      <alignment horizontal="center" vertical="center"/>
      <protection locked="0"/>
    </xf>
    <xf numFmtId="10" fontId="43" fillId="24" borderId="57" xfId="0" applyNumberFormat="1" applyFont="1" applyFill="1" applyBorder="1" applyAlignment="1" applyProtection="1">
      <alignment horizontal="center" vertical="center"/>
      <protection locked="0"/>
    </xf>
    <xf numFmtId="0" fontId="16" fillId="24" borderId="53" xfId="0" applyFont="1" applyFill="1" applyBorder="1" applyAlignment="1" applyProtection="1">
      <alignment horizontal="center" vertical="center" wrapText="1"/>
      <protection/>
    </xf>
    <xf numFmtId="0" fontId="0" fillId="24" borderId="11" xfId="0" applyFill="1" applyBorder="1" applyAlignment="1" applyProtection="1">
      <alignment vertical="center" wrapText="1"/>
      <protection locked="0"/>
    </xf>
    <xf numFmtId="4" fontId="43" fillId="24" borderId="11" xfId="0" applyNumberFormat="1" applyFont="1" applyFill="1" applyBorder="1" applyAlignment="1" applyProtection="1">
      <alignment horizontal="right" vertical="center"/>
      <protection locked="0"/>
    </xf>
    <xf numFmtId="0" fontId="0" fillId="24" borderId="56" xfId="0" applyFill="1" applyBorder="1" applyAlignment="1" applyProtection="1">
      <alignment horizontal="center" vertical="center" wrapText="1"/>
      <protection locked="0"/>
    </xf>
    <xf numFmtId="4" fontId="43" fillId="24" borderId="59" xfId="0" applyNumberFormat="1" applyFont="1" applyFill="1" applyBorder="1" applyAlignment="1" applyProtection="1">
      <alignment horizontal="right" vertical="center"/>
      <protection locked="0"/>
    </xf>
    <xf numFmtId="10" fontId="43" fillId="24" borderId="59" xfId="0" applyNumberFormat="1" applyFont="1" applyFill="1" applyBorder="1" applyAlignment="1" applyProtection="1">
      <alignment horizontal="center" vertical="center"/>
      <protection locked="0"/>
    </xf>
    <xf numFmtId="10" fontId="43" fillId="24" borderId="65" xfId="0" applyNumberFormat="1" applyFont="1" applyFill="1" applyBorder="1" applyAlignment="1" applyProtection="1">
      <alignment horizontal="center" vertical="center"/>
      <protection locked="0"/>
    </xf>
    <xf numFmtId="0" fontId="0" fillId="24" borderId="66" xfId="0" applyFill="1" applyBorder="1" applyAlignment="1" applyProtection="1">
      <alignment vertical="center" wrapText="1"/>
      <protection locked="0"/>
    </xf>
    <xf numFmtId="4" fontId="43" fillId="24" borderId="66" xfId="0" applyNumberFormat="1" applyFont="1" applyFill="1" applyBorder="1" applyAlignment="1" applyProtection="1">
      <alignment horizontal="right" vertical="center"/>
      <protection locked="0"/>
    </xf>
    <xf numFmtId="10" fontId="43" fillId="24" borderId="10" xfId="0" applyNumberFormat="1" applyFont="1" applyFill="1" applyBorder="1" applyAlignment="1" applyProtection="1">
      <alignment horizontal="center" vertical="center"/>
      <protection locked="0"/>
    </xf>
    <xf numFmtId="0" fontId="0" fillId="24" borderId="67" xfId="0" applyFill="1" applyBorder="1" applyAlignment="1" applyProtection="1">
      <alignment horizontal="center" vertical="center" wrapText="1"/>
      <protection locked="0"/>
    </xf>
    <xf numFmtId="10" fontId="43" fillId="24" borderId="0" xfId="0" applyNumberFormat="1" applyFont="1" applyFill="1" applyBorder="1" applyAlignment="1" applyProtection="1">
      <alignment horizontal="center" vertical="center"/>
      <protection locked="0"/>
    </xf>
    <xf numFmtId="0" fontId="0" fillId="24" borderId="68" xfId="0" applyFont="1" applyFill="1" applyBorder="1" applyAlignment="1" applyProtection="1">
      <alignment vertical="center" wrapText="1"/>
      <protection locked="0"/>
    </xf>
    <xf numFmtId="0" fontId="16" fillId="24" borderId="58" xfId="0" applyFont="1" applyFill="1" applyBorder="1" applyAlignment="1" applyProtection="1">
      <alignment horizontal="center" vertical="center" wrapText="1"/>
      <protection locked="0"/>
    </xf>
    <xf numFmtId="4" fontId="43" fillId="24" borderId="19" xfId="0" applyNumberFormat="1" applyFont="1" applyFill="1" applyBorder="1" applyAlignment="1" applyProtection="1">
      <alignment horizontal="right" vertical="center"/>
      <protection locked="0"/>
    </xf>
    <xf numFmtId="10" fontId="43" fillId="24" borderId="66" xfId="0" applyNumberFormat="1" applyFont="1" applyFill="1" applyBorder="1" applyAlignment="1" applyProtection="1">
      <alignment horizontal="center" vertical="center"/>
      <protection locked="0"/>
    </xf>
    <xf numFmtId="10" fontId="43" fillId="24" borderId="69" xfId="0" applyNumberFormat="1" applyFont="1" applyFill="1" applyBorder="1" applyAlignment="1" applyProtection="1">
      <alignment horizontal="center" vertical="center"/>
      <protection locked="0"/>
    </xf>
    <xf numFmtId="0" fontId="43" fillId="24" borderId="56" xfId="0" applyFont="1" applyFill="1" applyBorder="1" applyAlignment="1" applyProtection="1">
      <alignment horizontal="center" vertical="center" wrapText="1"/>
      <protection locked="0"/>
    </xf>
    <xf numFmtId="0" fontId="8" fillId="24" borderId="10" xfId="0" applyFont="1" applyFill="1" applyBorder="1" applyAlignment="1" applyProtection="1">
      <alignment horizontal="center" vertical="center" textRotation="90" wrapText="1"/>
      <protection/>
    </xf>
    <xf numFmtId="0" fontId="46" fillId="0" borderId="0" xfId="0" applyFont="1" applyAlignment="1">
      <alignment/>
    </xf>
    <xf numFmtId="0" fontId="7" fillId="24" borderId="10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4" fontId="43" fillId="0" borderId="45" xfId="0" applyNumberFormat="1" applyFont="1" applyFill="1" applyBorder="1" applyAlignment="1" applyProtection="1">
      <alignment horizontal="right" vertical="center"/>
      <protection/>
    </xf>
    <xf numFmtId="4" fontId="7" fillId="0" borderId="17" xfId="60" applyNumberFormat="1" applyFont="1" applyFill="1" applyBorder="1" applyAlignment="1" applyProtection="1">
      <alignment vertical="center" wrapText="1"/>
      <protection/>
    </xf>
    <xf numFmtId="4" fontId="7" fillId="0" borderId="29" xfId="60" applyNumberFormat="1" applyFont="1" applyFill="1" applyBorder="1" applyAlignment="1" applyProtection="1">
      <alignment vertical="center" wrapText="1"/>
      <protection/>
    </xf>
    <xf numFmtId="4" fontId="7" fillId="0" borderId="10" xfId="60" applyNumberFormat="1" applyFont="1" applyFill="1" applyBorder="1" applyAlignment="1" applyProtection="1">
      <alignment vertical="center" wrapText="1"/>
      <protection/>
    </xf>
    <xf numFmtId="4" fontId="15" fillId="0" borderId="10" xfId="60" applyNumberFormat="1" applyFont="1" applyFill="1" applyBorder="1" applyAlignment="1" applyProtection="1">
      <alignment vertical="center" wrapText="1"/>
      <protection/>
    </xf>
    <xf numFmtId="4" fontId="17" fillId="0" borderId="10" xfId="60" applyNumberFormat="1" applyFont="1" applyFill="1" applyBorder="1" applyAlignment="1" applyProtection="1">
      <alignment vertical="center"/>
      <protection/>
    </xf>
    <xf numFmtId="4" fontId="8" fillId="0" borderId="10" xfId="60" applyNumberFormat="1" applyFont="1" applyFill="1" applyBorder="1" applyAlignment="1" applyProtection="1">
      <alignment vertical="center"/>
      <protection/>
    </xf>
    <xf numFmtId="4" fontId="7" fillId="0" borderId="10" xfId="60" applyNumberFormat="1" applyFont="1" applyFill="1" applyBorder="1" applyAlignment="1" applyProtection="1">
      <alignment vertical="center"/>
      <protection/>
    </xf>
    <xf numFmtId="4" fontId="8" fillId="0" borderId="10" xfId="0" applyNumberFormat="1" applyFont="1" applyFill="1" applyBorder="1" applyAlignment="1" applyProtection="1">
      <alignment vertical="center"/>
      <protection/>
    </xf>
    <xf numFmtId="4" fontId="17" fillId="0" borderId="10" xfId="0" applyNumberFormat="1" applyFont="1" applyFill="1" applyBorder="1" applyAlignment="1" applyProtection="1">
      <alignment vertical="center"/>
      <protection/>
    </xf>
    <xf numFmtId="4" fontId="12" fillId="0" borderId="10" xfId="0" applyNumberFormat="1" applyFont="1" applyFill="1" applyBorder="1" applyAlignment="1" applyProtection="1">
      <alignment vertical="center"/>
      <protection/>
    </xf>
    <xf numFmtId="4" fontId="8" fillId="0" borderId="12" xfId="60" applyNumberFormat="1" applyFont="1" applyFill="1" applyBorder="1" applyAlignment="1" applyProtection="1">
      <alignment vertical="center"/>
      <protection/>
    </xf>
    <xf numFmtId="4" fontId="31" fillId="0" borderId="17" xfId="60" applyNumberFormat="1" applyFont="1" applyFill="1" applyBorder="1" applyAlignment="1" applyProtection="1">
      <alignment vertical="center"/>
      <protection/>
    </xf>
    <xf numFmtId="4" fontId="7" fillId="0" borderId="12" xfId="60" applyNumberFormat="1" applyFont="1" applyFill="1" applyBorder="1" applyAlignment="1" applyProtection="1">
      <alignment vertical="center"/>
      <protection/>
    </xf>
    <xf numFmtId="4" fontId="32" fillId="0" borderId="17" xfId="60" applyNumberFormat="1" applyFont="1" applyFill="1" applyBorder="1" applyAlignment="1" applyProtection="1">
      <alignment vertical="center" wrapText="1"/>
      <protection/>
    </xf>
    <xf numFmtId="4" fontId="21" fillId="0" borderId="10" xfId="60" applyNumberFormat="1" applyFont="1" applyFill="1" applyBorder="1" applyAlignment="1" applyProtection="1">
      <alignment horizontal="center" vertical="center" wrapText="1"/>
      <protection/>
    </xf>
    <xf numFmtId="4" fontId="27" fillId="0" borderId="17" xfId="60" applyNumberFormat="1" applyFont="1" applyFill="1" applyBorder="1" applyAlignment="1" applyProtection="1">
      <alignment vertical="center" wrapText="1"/>
      <protection/>
    </xf>
    <xf numFmtId="4" fontId="21" fillId="0" borderId="29" xfId="60" applyNumberFormat="1" applyFont="1" applyFill="1" applyBorder="1" applyAlignment="1" applyProtection="1">
      <alignment vertical="center" wrapText="1"/>
      <protection/>
    </xf>
    <xf numFmtId="4" fontId="12" fillId="0" borderId="10" xfId="60" applyNumberFormat="1" applyFont="1" applyFill="1" applyBorder="1" applyAlignment="1" applyProtection="1">
      <alignment vertical="center"/>
      <protection/>
    </xf>
    <xf numFmtId="4" fontId="14" fillId="0" borderId="0" xfId="0" applyNumberFormat="1" applyFont="1" applyAlignment="1">
      <alignment/>
    </xf>
    <xf numFmtId="4" fontId="21" fillId="0" borderId="10" xfId="0" applyNumberFormat="1" applyFont="1" applyFill="1" applyBorder="1" applyAlignment="1" applyProtection="1">
      <alignment horizontal="center"/>
      <protection/>
    </xf>
    <xf numFmtId="4" fontId="18" fillId="0" borderId="10" xfId="0" applyNumberFormat="1" applyFont="1" applyFill="1" applyBorder="1" applyAlignment="1" applyProtection="1">
      <alignment wrapText="1"/>
      <protection/>
    </xf>
    <xf numFmtId="4" fontId="18" fillId="0" borderId="10" xfId="0" applyNumberFormat="1" applyFont="1" applyFill="1" applyBorder="1" applyAlignment="1" applyProtection="1">
      <alignment horizontal="center" wrapText="1"/>
      <protection/>
    </xf>
    <xf numFmtId="4" fontId="17" fillId="0" borderId="17" xfId="0" applyNumberFormat="1" applyFont="1" applyFill="1" applyBorder="1" applyAlignment="1" applyProtection="1">
      <alignment/>
      <protection/>
    </xf>
    <xf numFmtId="4" fontId="17" fillId="0" borderId="10" xfId="0" applyNumberFormat="1" applyFont="1" applyFill="1" applyBorder="1" applyAlignment="1" applyProtection="1">
      <alignment horizontal="center"/>
      <protection/>
    </xf>
    <xf numFmtId="4" fontId="17" fillId="0" borderId="10" xfId="0" applyNumberFormat="1" applyFont="1" applyFill="1" applyBorder="1" applyAlignment="1" applyProtection="1">
      <alignment horizontal="right"/>
      <protection/>
    </xf>
    <xf numFmtId="4" fontId="8" fillId="0" borderId="10" xfId="0" applyNumberFormat="1" applyFont="1" applyFill="1" applyBorder="1" applyAlignment="1" applyProtection="1">
      <alignment horizontal="right"/>
      <protection/>
    </xf>
    <xf numFmtId="4" fontId="31" fillId="0" borderId="17" xfId="0" applyNumberFormat="1" applyFont="1" applyFill="1" applyBorder="1" applyAlignment="1" applyProtection="1">
      <alignment/>
      <protection/>
    </xf>
    <xf numFmtId="4" fontId="21" fillId="0" borderId="17" xfId="0" applyNumberFormat="1" applyFont="1" applyFill="1" applyBorder="1" applyAlignment="1" applyProtection="1">
      <alignment/>
      <protection/>
    </xf>
    <xf numFmtId="4" fontId="17" fillId="0" borderId="12" xfId="60" applyNumberFormat="1" applyFont="1" applyFill="1" applyBorder="1" applyAlignment="1" applyProtection="1">
      <alignment vertical="center"/>
      <protection/>
    </xf>
    <xf numFmtId="4" fontId="15" fillId="0" borderId="17" xfId="0" applyNumberFormat="1" applyFont="1" applyFill="1" applyBorder="1" applyAlignment="1" applyProtection="1">
      <alignment/>
      <protection/>
    </xf>
    <xf numFmtId="4" fontId="15" fillId="0" borderId="10" xfId="0" applyNumberFormat="1" applyFont="1" applyFill="1" applyBorder="1" applyAlignment="1" applyProtection="1">
      <alignment horizontal="center"/>
      <protection/>
    </xf>
    <xf numFmtId="4" fontId="21" fillId="0" borderId="10" xfId="0" applyNumberFormat="1" applyFont="1" applyFill="1" applyBorder="1" applyAlignment="1" applyProtection="1">
      <alignment/>
      <protection/>
    </xf>
    <xf numFmtId="4" fontId="7" fillId="0" borderId="10" xfId="0" applyNumberFormat="1" applyFont="1" applyFill="1" applyBorder="1" applyAlignment="1" applyProtection="1">
      <alignment horizontal="right"/>
      <protection/>
    </xf>
    <xf numFmtId="4" fontId="21" fillId="0" borderId="17" xfId="0" applyNumberFormat="1" applyFont="1" applyFill="1" applyBorder="1" applyAlignment="1" applyProtection="1">
      <alignment horizontal="center"/>
      <protection/>
    </xf>
    <xf numFmtId="4" fontId="8" fillId="0" borderId="18" xfId="60" applyNumberFormat="1" applyFont="1" applyFill="1" applyBorder="1" applyAlignment="1" applyProtection="1">
      <alignment vertical="center"/>
      <protection/>
    </xf>
    <xf numFmtId="4" fontId="7" fillId="26" borderId="17" xfId="60" applyNumberFormat="1" applyFont="1" applyFill="1" applyBorder="1" applyAlignment="1" applyProtection="1">
      <alignment vertical="center"/>
      <protection/>
    </xf>
    <xf numFmtId="4" fontId="7" fillId="0" borderId="11" xfId="60" applyNumberFormat="1" applyFont="1" applyFill="1" applyBorder="1" applyAlignment="1" applyProtection="1">
      <alignment vertical="center"/>
      <protection/>
    </xf>
    <xf numFmtId="4" fontId="17" fillId="0" borderId="11" xfId="0" applyNumberFormat="1" applyFont="1" applyFill="1" applyBorder="1" applyAlignment="1" applyProtection="1">
      <alignment horizontal="right"/>
      <protection/>
    </xf>
    <xf numFmtId="4" fontId="7" fillId="0" borderId="11" xfId="60" applyNumberFormat="1" applyFont="1" applyFill="1" applyBorder="1" applyAlignment="1" applyProtection="1">
      <alignment vertical="center" wrapText="1"/>
      <protection/>
    </xf>
    <xf numFmtId="4" fontId="7" fillId="0" borderId="18" xfId="60" applyNumberFormat="1" applyFont="1" applyFill="1" applyBorder="1" applyAlignment="1" applyProtection="1">
      <alignment vertical="center" wrapText="1"/>
      <protection/>
    </xf>
    <xf numFmtId="4" fontId="17" fillId="0" borderId="10" xfId="0" applyNumberFormat="1" applyFont="1" applyFill="1" applyBorder="1" applyAlignment="1" applyProtection="1">
      <alignment/>
      <protection/>
    </xf>
    <xf numFmtId="4" fontId="17" fillId="0" borderId="11" xfId="60" applyNumberFormat="1" applyFont="1" applyFill="1" applyBorder="1" applyAlignment="1" applyProtection="1">
      <alignment vertical="center"/>
      <protection/>
    </xf>
    <xf numFmtId="4" fontId="0" fillId="0" borderId="10" xfId="0" applyNumberFormat="1" applyBorder="1" applyAlignment="1">
      <alignment/>
    </xf>
    <xf numFmtId="4" fontId="14" fillId="20" borderId="10" xfId="0" applyNumberFormat="1" applyFont="1" applyFill="1" applyBorder="1" applyAlignment="1">
      <alignment/>
    </xf>
    <xf numFmtId="0" fontId="0" fillId="22" borderId="10" xfId="0" applyFont="1" applyFill="1" applyBorder="1" applyAlignment="1">
      <alignment horizontal="center"/>
    </xf>
    <xf numFmtId="49" fontId="0" fillId="22" borderId="10" xfId="0" applyNumberFormat="1" applyFont="1" applyFill="1" applyBorder="1" applyAlignment="1">
      <alignment horizontal="center"/>
    </xf>
    <xf numFmtId="0" fontId="0" fillId="22" borderId="10" xfId="0" applyFont="1" applyFill="1" applyBorder="1" applyAlignment="1">
      <alignment horizontal="center"/>
    </xf>
    <xf numFmtId="49" fontId="0" fillId="22" borderId="10" xfId="0" applyNumberFormat="1" applyFont="1" applyFill="1" applyBorder="1" applyAlignment="1">
      <alignment horizontal="center"/>
    </xf>
    <xf numFmtId="49" fontId="0" fillId="22" borderId="10" xfId="0" applyNumberFormat="1" applyFont="1" applyFill="1" applyBorder="1" applyAlignment="1">
      <alignment horizontal="center"/>
    </xf>
    <xf numFmtId="49" fontId="8" fillId="22" borderId="10" xfId="60" applyNumberFormat="1" applyFont="1" applyFill="1" applyBorder="1" applyAlignment="1" applyProtection="1">
      <alignment horizontal="center" vertical="center" wrapText="1"/>
      <protection/>
    </xf>
    <xf numFmtId="0" fontId="19" fillId="22" borderId="10" xfId="0" applyFont="1" applyFill="1" applyBorder="1" applyAlignment="1">
      <alignment vertical="center" wrapText="1"/>
    </xf>
    <xf numFmtId="4" fontId="7" fillId="22" borderId="10" xfId="60" applyNumberFormat="1" applyFont="1" applyFill="1" applyBorder="1" applyAlignment="1" applyProtection="1">
      <alignment vertical="center"/>
      <protection/>
    </xf>
    <xf numFmtId="49" fontId="0" fillId="22" borderId="10" xfId="0" applyNumberFormat="1" applyFont="1" applyFill="1" applyBorder="1" applyAlignment="1">
      <alignment horizontal="center"/>
    </xf>
    <xf numFmtId="49" fontId="7" fillId="22" borderId="10" xfId="60" applyNumberFormat="1" applyFont="1" applyFill="1" applyBorder="1" applyAlignment="1" applyProtection="1">
      <alignment horizontal="center" vertical="center" wrapText="1"/>
      <protection/>
    </xf>
    <xf numFmtId="0" fontId="19" fillId="22" borderId="10" xfId="0" applyFont="1" applyFill="1" applyBorder="1" applyAlignment="1">
      <alignment vertical="center" wrapText="1"/>
    </xf>
    <xf numFmtId="49" fontId="0" fillId="22" borderId="10" xfId="0" applyNumberFormat="1" applyFont="1" applyFill="1" applyBorder="1" applyAlignment="1">
      <alignment horizontal="center"/>
    </xf>
    <xf numFmtId="0" fontId="19" fillId="26" borderId="70" xfId="0" applyFont="1" applyFill="1" applyBorder="1" applyAlignment="1">
      <alignment vertical="center" wrapText="1"/>
    </xf>
    <xf numFmtId="4" fontId="14" fillId="26" borderId="10" xfId="0" applyNumberFormat="1" applyFont="1" applyFill="1" applyBorder="1" applyAlignment="1">
      <alignment/>
    </xf>
    <xf numFmtId="0" fontId="0" fillId="0" borderId="0" xfId="0" applyFont="1" applyBorder="1" applyAlignment="1" applyProtection="1">
      <alignment vertical="center"/>
      <protection locked="0"/>
    </xf>
    <xf numFmtId="4" fontId="0" fillId="0" borderId="0" xfId="0" applyNumberFormat="1" applyFont="1" applyBorder="1" applyAlignment="1" applyProtection="1">
      <alignment vertical="center"/>
      <protection locked="0"/>
    </xf>
    <xf numFmtId="0" fontId="0" fillId="0" borderId="61" xfId="0" applyFont="1" applyBorder="1" applyAlignment="1" applyProtection="1">
      <alignment vertical="center"/>
      <protection locked="0"/>
    </xf>
    <xf numFmtId="0" fontId="38" fillId="0" borderId="45" xfId="0" applyFont="1" applyBorder="1" applyAlignment="1" applyProtection="1">
      <alignment vertical="center"/>
      <protection locked="0"/>
    </xf>
    <xf numFmtId="4" fontId="47" fillId="0" borderId="45" xfId="0" applyNumberFormat="1" applyFont="1" applyBorder="1" applyAlignment="1" applyProtection="1">
      <alignment vertical="center"/>
      <protection locked="0"/>
    </xf>
    <xf numFmtId="0" fontId="38" fillId="0" borderId="71" xfId="0" applyFont="1" applyBorder="1" applyAlignment="1" applyProtection="1">
      <alignment vertical="center"/>
      <protection locked="0"/>
    </xf>
    <xf numFmtId="0" fontId="38" fillId="0" borderId="72" xfId="0" applyFont="1" applyBorder="1" applyAlignment="1" applyProtection="1">
      <alignment vertical="center"/>
      <protection locked="0"/>
    </xf>
    <xf numFmtId="4" fontId="29" fillId="0" borderId="45" xfId="0" applyNumberFormat="1" applyFont="1" applyBorder="1" applyAlignment="1" applyProtection="1">
      <alignment vertical="center"/>
      <protection locked="0"/>
    </xf>
    <xf numFmtId="0" fontId="29" fillId="0" borderId="0" xfId="0" applyFont="1" applyBorder="1" applyAlignment="1" applyProtection="1">
      <alignment horizontal="center" vertical="center"/>
      <protection locked="0"/>
    </xf>
    <xf numFmtId="4" fontId="8" fillId="0" borderId="0" xfId="0" applyNumberFormat="1" applyFont="1" applyBorder="1" applyAlignment="1" applyProtection="1">
      <alignment vertical="center"/>
      <protection locked="0"/>
    </xf>
    <xf numFmtId="0" fontId="8" fillId="0" borderId="0" xfId="0" applyFont="1" applyBorder="1" applyAlignment="1" applyProtection="1">
      <alignment vertical="center"/>
      <protection locked="0"/>
    </xf>
    <xf numFmtId="0" fontId="48" fillId="0" borderId="0" xfId="0" applyFont="1" applyAlignment="1" applyProtection="1">
      <alignment vertical="center"/>
      <protection locked="0"/>
    </xf>
    <xf numFmtId="4" fontId="39" fillId="0" borderId="0" xfId="0" applyNumberFormat="1" applyFont="1" applyBorder="1" applyAlignment="1" applyProtection="1">
      <alignment vertical="center"/>
      <protection locked="0"/>
    </xf>
    <xf numFmtId="4" fontId="39" fillId="0" borderId="24" xfId="0" applyNumberFormat="1" applyFont="1" applyBorder="1" applyAlignment="1" applyProtection="1">
      <alignment vertical="center"/>
      <protection locked="0"/>
    </xf>
    <xf numFmtId="0" fontId="39" fillId="0" borderId="24" xfId="0" applyFont="1" applyBorder="1" applyAlignment="1" applyProtection="1">
      <alignment vertical="center"/>
      <protection locked="0"/>
    </xf>
    <xf numFmtId="0" fontId="47" fillId="0" borderId="0" xfId="0" applyFont="1" applyAlignment="1" applyProtection="1">
      <alignment vertical="center"/>
      <protection locked="0"/>
    </xf>
    <xf numFmtId="0" fontId="48" fillId="0" borderId="73" xfId="0" applyFont="1" applyBorder="1" applyAlignment="1" applyProtection="1">
      <alignment vertical="center"/>
      <protection locked="0"/>
    </xf>
    <xf numFmtId="4" fontId="39" fillId="0" borderId="45" xfId="0" applyNumberFormat="1" applyFont="1" applyBorder="1" applyAlignment="1" applyProtection="1">
      <alignment vertical="center"/>
      <protection locked="0"/>
    </xf>
    <xf numFmtId="0" fontId="48" fillId="0" borderId="74" xfId="0" applyFont="1" applyBorder="1" applyAlignment="1" applyProtection="1">
      <alignment vertical="center"/>
      <protection locked="0"/>
    </xf>
    <xf numFmtId="0" fontId="48" fillId="0" borderId="75" xfId="0" applyFont="1" applyBorder="1" applyAlignment="1" applyProtection="1">
      <alignment vertical="center"/>
      <protection locked="0"/>
    </xf>
    <xf numFmtId="0" fontId="48" fillId="0" borderId="76" xfId="0" applyFont="1" applyBorder="1" applyAlignment="1" applyProtection="1">
      <alignment vertical="center"/>
      <protection locked="0"/>
    </xf>
    <xf numFmtId="4" fontId="6" fillId="0" borderId="10" xfId="0" applyNumberFormat="1" applyFont="1" applyBorder="1" applyAlignment="1" applyProtection="1">
      <alignment horizontal="center" vertical="center" wrapText="1"/>
      <protection/>
    </xf>
    <xf numFmtId="4" fontId="17" fillId="0" borderId="17" xfId="60" applyNumberFormat="1" applyFont="1" applyFill="1" applyBorder="1" applyAlignment="1" applyProtection="1">
      <alignment vertical="center"/>
      <protection/>
    </xf>
    <xf numFmtId="4" fontId="7" fillId="0" borderId="17" xfId="60" applyNumberFormat="1" applyFont="1" applyFill="1" applyBorder="1" applyAlignment="1" applyProtection="1">
      <alignment vertical="center"/>
      <protection/>
    </xf>
    <xf numFmtId="4" fontId="0" fillId="0" borderId="0" xfId="0" applyNumberFormat="1" applyFill="1" applyAlignment="1">
      <alignment/>
    </xf>
    <xf numFmtId="4" fontId="0" fillId="0" borderId="0" xfId="0" applyNumberFormat="1" applyBorder="1" applyAlignment="1">
      <alignment/>
    </xf>
    <xf numFmtId="4" fontId="0" fillId="0" borderId="0" xfId="0" applyNumberFormat="1" applyAlignment="1">
      <alignment/>
    </xf>
    <xf numFmtId="43" fontId="0" fillId="0" borderId="0" xfId="0" applyNumberFormat="1" applyAlignment="1">
      <alignment/>
    </xf>
    <xf numFmtId="4" fontId="8" fillId="0" borderId="77" xfId="60" applyNumberFormat="1" applyFont="1" applyFill="1" applyBorder="1" applyAlignment="1" applyProtection="1">
      <alignment vertical="center"/>
      <protection/>
    </xf>
    <xf numFmtId="198" fontId="14" fillId="0" borderId="0" xfId="0" applyNumberFormat="1" applyFont="1" applyAlignment="1">
      <alignment/>
    </xf>
    <xf numFmtId="198" fontId="0" fillId="0" borderId="0" xfId="0" applyNumberFormat="1" applyAlignment="1">
      <alignment/>
    </xf>
    <xf numFmtId="198" fontId="36" fillId="0" borderId="0" xfId="0" applyNumberFormat="1" applyFont="1" applyAlignment="1">
      <alignment horizontal="center"/>
    </xf>
    <xf numFmtId="198" fontId="36" fillId="0" borderId="0" xfId="0" applyNumberFormat="1" applyFont="1" applyAlignment="1" applyProtection="1">
      <alignment vertical="center"/>
      <protection locked="0"/>
    </xf>
    <xf numFmtId="43" fontId="0" fillId="0" borderId="0" xfId="0" applyNumberFormat="1" applyFill="1" applyAlignment="1">
      <alignment/>
    </xf>
    <xf numFmtId="4" fontId="8" fillId="0" borderId="11" xfId="60" applyNumberFormat="1" applyFont="1" applyFill="1" applyBorder="1" applyAlignment="1" applyProtection="1">
      <alignment vertical="center"/>
      <protection/>
    </xf>
    <xf numFmtId="0" fontId="0" fillId="0" borderId="78" xfId="0" applyFont="1" applyFill="1" applyBorder="1" applyAlignment="1">
      <alignment horizontal="center"/>
    </xf>
    <xf numFmtId="49" fontId="13" fillId="0" borderId="10" xfId="0" applyNumberFormat="1" applyFont="1" applyFill="1" applyBorder="1" applyAlignment="1" applyProtection="1">
      <alignment horizontal="center" vertical="center" wrapText="1"/>
      <protection/>
    </xf>
    <xf numFmtId="49" fontId="14" fillId="0" borderId="17" xfId="0" applyNumberFormat="1" applyFont="1" applyFill="1" applyBorder="1" applyAlignment="1">
      <alignment vertical="center"/>
    </xf>
    <xf numFmtId="49" fontId="14" fillId="0" borderId="29" xfId="0" applyNumberFormat="1" applyFont="1" applyFill="1" applyBorder="1" applyAlignment="1">
      <alignment vertical="center"/>
    </xf>
    <xf numFmtId="49" fontId="14" fillId="0" borderId="10" xfId="0" applyNumberFormat="1" applyFont="1" applyFill="1" applyBorder="1" applyAlignment="1">
      <alignment vertical="center"/>
    </xf>
    <xf numFmtId="49" fontId="18" fillId="0" borderId="10" xfId="0" applyNumberFormat="1" applyFont="1" applyFill="1" applyBorder="1" applyAlignment="1" applyProtection="1">
      <alignment horizontal="center" vertical="center" wrapText="1"/>
      <protection/>
    </xf>
    <xf numFmtId="49" fontId="19" fillId="0" borderId="10" xfId="0" applyNumberFormat="1" applyFont="1" applyFill="1" applyBorder="1" applyAlignment="1" applyProtection="1">
      <alignment horizontal="center" vertical="center" wrapText="1"/>
      <protection/>
    </xf>
    <xf numFmtId="49" fontId="18" fillId="0" borderId="17" xfId="0" applyNumberFormat="1" applyFont="1" applyFill="1" applyBorder="1" applyAlignment="1" applyProtection="1">
      <alignment horizontal="center" vertical="center" wrapText="1"/>
      <protection/>
    </xf>
    <xf numFmtId="49" fontId="30" fillId="0" borderId="17" xfId="0" applyNumberFormat="1" applyFont="1" applyFill="1" applyBorder="1" applyAlignment="1" applyProtection="1">
      <alignment horizontal="center" vertical="center" wrapText="1"/>
      <protection/>
    </xf>
    <xf numFmtId="49" fontId="29" fillId="0" borderId="17" xfId="0" applyNumberFormat="1" applyFont="1" applyFill="1" applyBorder="1" applyAlignment="1">
      <alignment vertical="center"/>
    </xf>
    <xf numFmtId="49" fontId="27" fillId="0" borderId="17" xfId="0" applyNumberFormat="1" applyFont="1" applyFill="1" applyBorder="1" applyAlignment="1">
      <alignment vertical="center"/>
    </xf>
    <xf numFmtId="49" fontId="21" fillId="0" borderId="10" xfId="0" applyNumberFormat="1" applyFont="1" applyFill="1" applyBorder="1" applyAlignment="1" applyProtection="1">
      <alignment horizontal="center" vertical="center"/>
      <protection/>
    </xf>
    <xf numFmtId="49" fontId="17" fillId="0" borderId="10" xfId="0" applyNumberFormat="1" applyFont="1" applyFill="1" applyBorder="1" applyAlignment="1" applyProtection="1">
      <alignment horizontal="center" vertical="center"/>
      <protection/>
    </xf>
    <xf numFmtId="49" fontId="8" fillId="0" borderId="10" xfId="0" applyNumberFormat="1" applyFont="1" applyFill="1" applyBorder="1" applyAlignment="1" applyProtection="1">
      <alignment horizontal="center" vertical="center"/>
      <protection/>
    </xf>
    <xf numFmtId="49" fontId="18" fillId="0" borderId="12" xfId="0" applyNumberFormat="1" applyFont="1" applyFill="1" applyBorder="1" applyAlignment="1" applyProtection="1">
      <alignment horizontal="center" vertical="center" wrapText="1"/>
      <protection/>
    </xf>
    <xf numFmtId="49" fontId="7" fillId="0" borderId="17" xfId="0" applyNumberFormat="1" applyFont="1" applyFill="1" applyBorder="1" applyAlignment="1">
      <alignment vertical="center"/>
    </xf>
    <xf numFmtId="49" fontId="15" fillId="0" borderId="10" xfId="0" applyNumberFormat="1" applyFont="1" applyFill="1" applyBorder="1" applyAlignment="1" applyProtection="1">
      <alignment horizontal="center" vertical="center"/>
      <protection/>
    </xf>
    <xf numFmtId="49" fontId="13" fillId="22" borderId="10" xfId="0" applyNumberFormat="1" applyFont="1" applyFill="1" applyBorder="1" applyAlignment="1" applyProtection="1">
      <alignment horizontal="center" vertical="center" wrapText="1"/>
      <protection/>
    </xf>
    <xf numFmtId="49" fontId="13" fillId="0" borderId="12" xfId="0" applyNumberFormat="1" applyFont="1" applyFill="1" applyBorder="1" applyAlignment="1" applyProtection="1">
      <alignment horizontal="center" vertical="center" wrapText="1"/>
      <protection/>
    </xf>
    <xf numFmtId="49" fontId="20" fillId="0" borderId="17" xfId="0" applyNumberFormat="1" applyFont="1" applyFill="1" applyBorder="1" applyAlignment="1" applyProtection="1">
      <alignment vertical="center"/>
      <protection/>
    </xf>
    <xf numFmtId="49" fontId="14" fillId="0" borderId="11" xfId="0" applyNumberFormat="1" applyFont="1" applyFill="1" applyBorder="1" applyAlignment="1">
      <alignment vertical="center"/>
    </xf>
    <xf numFmtId="49" fontId="14" fillId="0" borderId="18" xfId="0" applyNumberFormat="1" applyFont="1" applyFill="1" applyBorder="1" applyAlignment="1">
      <alignment vertical="center"/>
    </xf>
    <xf numFmtId="49" fontId="7" fillId="0" borderId="10" xfId="0" applyNumberFormat="1" applyFont="1" applyFill="1" applyBorder="1" applyAlignment="1">
      <alignment vertical="center"/>
    </xf>
    <xf numFmtId="49" fontId="17" fillId="0" borderId="11" xfId="0" applyNumberFormat="1" applyFont="1" applyFill="1" applyBorder="1" applyAlignment="1" applyProtection="1">
      <alignment horizontal="center" vertical="center"/>
      <protection/>
    </xf>
    <xf numFmtId="49" fontId="13" fillId="0" borderId="11" xfId="0" applyNumberFormat="1" applyFont="1" applyFill="1" applyBorder="1" applyAlignment="1" applyProtection="1">
      <alignment horizontal="center" vertical="center" wrapText="1"/>
      <protection/>
    </xf>
    <xf numFmtId="49" fontId="18" fillId="0" borderId="11" xfId="0" applyNumberFormat="1" applyFont="1" applyFill="1" applyBorder="1" applyAlignment="1" applyProtection="1">
      <alignment horizontal="center" vertical="center" wrapText="1"/>
      <protection/>
    </xf>
    <xf numFmtId="49" fontId="0" fillId="0" borderId="0" xfId="0" applyNumberFormat="1" applyFill="1" applyAlignment="1">
      <alignment vertical="center"/>
    </xf>
    <xf numFmtId="49" fontId="0" fillId="0" borderId="0" xfId="0" applyNumberFormat="1" applyAlignment="1">
      <alignment vertical="center"/>
    </xf>
    <xf numFmtId="0" fontId="19" fillId="0" borderId="66" xfId="0" applyFont="1" applyFill="1" applyBorder="1" applyAlignment="1">
      <alignment vertical="center" wrapText="1"/>
    </xf>
    <xf numFmtId="0" fontId="14" fillId="0" borderId="10" xfId="0" applyFont="1" applyFill="1" applyBorder="1" applyAlignment="1">
      <alignment horizontal="center" vertical="center" textRotation="90"/>
    </xf>
    <xf numFmtId="49" fontId="14" fillId="0" borderId="10" xfId="0" applyNumberFormat="1" applyFont="1" applyFill="1" applyBorder="1" applyAlignment="1">
      <alignment horizontal="center" vertical="center" textRotation="90"/>
    </xf>
    <xf numFmtId="0" fontId="14" fillId="0" borderId="10" xfId="0" applyFont="1" applyFill="1" applyBorder="1" applyAlignment="1">
      <alignment horizontal="center" vertical="center" textRotation="90" wrapText="1" readingOrder="2"/>
    </xf>
    <xf numFmtId="49" fontId="14" fillId="0" borderId="10" xfId="0" applyNumberFormat="1" applyFont="1" applyFill="1" applyBorder="1" applyAlignment="1">
      <alignment horizontal="center" vertical="center" textRotation="90"/>
    </xf>
    <xf numFmtId="49" fontId="14" fillId="0" borderId="10" xfId="0" applyNumberFormat="1" applyFont="1" applyFill="1" applyBorder="1" applyAlignment="1">
      <alignment horizontal="center" vertical="center" textRotation="90"/>
    </xf>
    <xf numFmtId="0" fontId="0" fillId="0" borderId="54" xfId="0" applyFont="1" applyFill="1" applyBorder="1" applyAlignment="1" applyProtection="1">
      <alignment horizontal="left" vertical="center" wrapText="1"/>
      <protection locked="0"/>
    </xf>
    <xf numFmtId="0" fontId="0" fillId="0" borderId="10" xfId="0" applyFill="1" applyBorder="1" applyAlignment="1" applyProtection="1">
      <alignment horizontal="left" vertical="center" wrapText="1"/>
      <protection locked="0"/>
    </xf>
    <xf numFmtId="0" fontId="0" fillId="0" borderId="28" xfId="0" applyFill="1" applyBorder="1" applyAlignment="1" applyProtection="1">
      <alignment horizontal="left" vertical="center" wrapText="1"/>
      <protection locked="0"/>
    </xf>
    <xf numFmtId="0" fontId="0" fillId="24" borderId="60" xfId="0" applyFill="1" applyBorder="1" applyAlignment="1" applyProtection="1">
      <alignment horizontal="left" vertical="center" wrapText="1"/>
      <protection locked="0"/>
    </xf>
    <xf numFmtId="0" fontId="0" fillId="24" borderId="20" xfId="0" applyFill="1" applyBorder="1" applyAlignment="1" applyProtection="1">
      <alignment horizontal="left" vertical="center" wrapText="1"/>
      <protection locked="0"/>
    </xf>
    <xf numFmtId="0" fontId="0" fillId="24" borderId="10" xfId="0" applyFill="1" applyBorder="1" applyAlignment="1" applyProtection="1">
      <alignment horizontal="left" vertical="center" wrapText="1"/>
      <protection locked="0"/>
    </xf>
    <xf numFmtId="0" fontId="0" fillId="24" borderId="11" xfId="0" applyFill="1" applyBorder="1" applyAlignment="1" applyProtection="1">
      <alignment horizontal="left" vertical="center" wrapText="1"/>
      <protection locked="0"/>
    </xf>
    <xf numFmtId="0" fontId="0" fillId="24" borderId="59" xfId="0" applyFill="1" applyBorder="1" applyAlignment="1" applyProtection="1">
      <alignment horizontal="left" vertical="center" wrapText="1"/>
      <protection locked="0"/>
    </xf>
    <xf numFmtId="0" fontId="0" fillId="24" borderId="24" xfId="0" applyFill="1" applyBorder="1" applyAlignment="1" applyProtection="1">
      <alignment horizontal="left" vertical="center" wrapText="1"/>
      <protection locked="0"/>
    </xf>
    <xf numFmtId="0" fontId="0" fillId="24" borderId="64" xfId="0" applyFill="1" applyBorder="1" applyAlignment="1" applyProtection="1">
      <alignment horizontal="left" vertical="center" wrapText="1"/>
      <protection locked="0"/>
    </xf>
    <xf numFmtId="0" fontId="0" fillId="24" borderId="66" xfId="0" applyFont="1" applyFill="1" applyBorder="1" applyAlignment="1" applyProtection="1">
      <alignment horizontal="left" vertical="center" wrapText="1"/>
      <protection locked="0"/>
    </xf>
    <xf numFmtId="0" fontId="0" fillId="24" borderId="59" xfId="0" applyFont="1" applyFill="1" applyBorder="1" applyAlignment="1" applyProtection="1">
      <alignment horizontal="left" vertical="center" wrapText="1"/>
      <protection locked="0"/>
    </xf>
    <xf numFmtId="10" fontId="43" fillId="24" borderId="79" xfId="0" applyNumberFormat="1" applyFont="1" applyFill="1" applyBorder="1" applyAlignment="1" applyProtection="1">
      <alignment horizontal="center" vertical="center"/>
      <protection locked="0"/>
    </xf>
    <xf numFmtId="43" fontId="0" fillId="0" borderId="0" xfId="42" applyFont="1" applyAlignment="1" applyProtection="1">
      <alignment/>
      <protection/>
    </xf>
    <xf numFmtId="43" fontId="0" fillId="0" borderId="0" xfId="0" applyNumberFormat="1" applyAlignment="1" applyProtection="1">
      <alignment/>
      <protection/>
    </xf>
    <xf numFmtId="4" fontId="6" fillId="0" borderId="10" xfId="0" applyNumberFormat="1" applyFont="1" applyFill="1" applyBorder="1" applyAlignment="1" applyProtection="1">
      <alignment horizontal="right"/>
      <protection/>
    </xf>
    <xf numFmtId="4" fontId="6" fillId="0" borderId="10" xfId="0" applyNumberFormat="1" applyFont="1" applyFill="1" applyBorder="1" applyAlignment="1" applyProtection="1">
      <alignment/>
      <protection/>
    </xf>
    <xf numFmtId="43" fontId="0" fillId="0" borderId="0" xfId="42" applyFont="1" applyAlignment="1" applyProtection="1">
      <alignment/>
      <protection/>
    </xf>
    <xf numFmtId="198" fontId="0" fillId="0" borderId="0" xfId="0" applyNumberFormat="1" applyFill="1" applyAlignment="1">
      <alignment/>
    </xf>
    <xf numFmtId="4" fontId="39" fillId="0" borderId="71" xfId="0" applyNumberFormat="1" applyFont="1" applyBorder="1" applyAlignment="1" applyProtection="1">
      <alignment vertical="center"/>
      <protection locked="0"/>
    </xf>
    <xf numFmtId="4" fontId="39" fillId="0" borderId="44" xfId="0" applyNumberFormat="1" applyFont="1" applyBorder="1" applyAlignment="1" applyProtection="1">
      <alignment vertical="center"/>
      <protection locked="0"/>
    </xf>
    <xf numFmtId="4" fontId="39" fillId="0" borderId="72" xfId="0" applyNumberFormat="1" applyFont="1" applyBorder="1" applyAlignment="1" applyProtection="1">
      <alignment vertical="center"/>
      <protection locked="0"/>
    </xf>
    <xf numFmtId="3" fontId="39" fillId="0" borderId="45" xfId="0" applyNumberFormat="1" applyFont="1" applyBorder="1" applyAlignment="1" applyProtection="1">
      <alignment vertical="center"/>
      <protection locked="0"/>
    </xf>
    <xf numFmtId="3" fontId="39" fillId="0" borderId="44" xfId="0" applyNumberFormat="1" applyFont="1" applyBorder="1" applyAlignment="1" applyProtection="1">
      <alignment vertical="center"/>
      <protection locked="0"/>
    </xf>
    <xf numFmtId="3" fontId="39" fillId="0" borderId="72" xfId="0" applyNumberFormat="1" applyFont="1" applyBorder="1" applyAlignment="1" applyProtection="1">
      <alignment vertical="center"/>
      <protection locked="0"/>
    </xf>
    <xf numFmtId="3" fontId="39" fillId="0" borderId="71" xfId="0" applyNumberFormat="1" applyFont="1" applyBorder="1" applyAlignment="1" applyProtection="1">
      <alignment vertical="center"/>
      <protection locked="0"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10" xfId="0" applyFont="1" applyFill="1" applyBorder="1" applyAlignment="1" applyProtection="1">
      <alignment horizontal="left"/>
      <protection/>
    </xf>
    <xf numFmtId="0" fontId="19" fillId="0" borderId="61" xfId="0" applyFont="1" applyFill="1" applyBorder="1" applyAlignment="1">
      <alignment vertical="center" wrapText="1"/>
    </xf>
    <xf numFmtId="0" fontId="0" fillId="22" borderId="18" xfId="0" applyFont="1" applyFill="1" applyBorder="1" applyAlignment="1">
      <alignment horizontal="center"/>
    </xf>
    <xf numFmtId="49" fontId="0" fillId="22" borderId="18" xfId="0" applyNumberFormat="1" applyFont="1" applyFill="1" applyBorder="1" applyAlignment="1">
      <alignment horizontal="center"/>
    </xf>
    <xf numFmtId="49" fontId="0" fillId="22" borderId="18" xfId="0" applyNumberFormat="1" applyFont="1" applyFill="1" applyBorder="1" applyAlignment="1">
      <alignment horizontal="center"/>
    </xf>
    <xf numFmtId="49" fontId="0" fillId="22" borderId="18" xfId="0" applyNumberFormat="1" applyFont="1" applyFill="1" applyBorder="1" applyAlignment="1">
      <alignment horizontal="center"/>
    </xf>
    <xf numFmtId="4" fontId="7" fillId="22" borderId="18" xfId="60" applyNumberFormat="1" applyFont="1" applyFill="1" applyBorder="1" applyAlignment="1" applyProtection="1">
      <alignment vertical="center"/>
      <protection/>
    </xf>
    <xf numFmtId="49" fontId="0" fillId="0" borderId="18" xfId="0" applyNumberFormat="1" applyFont="1" applyFill="1" applyBorder="1" applyAlignment="1">
      <alignment horizontal="center"/>
    </xf>
    <xf numFmtId="49" fontId="7" fillId="0" borderId="18" xfId="60" applyNumberFormat="1" applyFont="1" applyFill="1" applyBorder="1" applyAlignment="1" applyProtection="1">
      <alignment horizontal="center" vertical="center" wrapText="1"/>
      <protection/>
    </xf>
    <xf numFmtId="0" fontId="19" fillId="0" borderId="18" xfId="0" applyFont="1" applyFill="1" applyBorder="1" applyAlignment="1">
      <alignment vertical="center" wrapText="1"/>
    </xf>
    <xf numFmtId="4" fontId="7" fillId="0" borderId="18" xfId="60" applyNumberFormat="1" applyFont="1" applyFill="1" applyBorder="1" applyAlignment="1" applyProtection="1">
      <alignment vertical="center"/>
      <protection/>
    </xf>
    <xf numFmtId="49" fontId="14" fillId="0" borderId="18" xfId="0" applyNumberFormat="1" applyFont="1" applyFill="1" applyBorder="1" applyAlignment="1">
      <alignment horizontal="center"/>
    </xf>
    <xf numFmtId="0" fontId="19" fillId="0" borderId="18" xfId="0" applyFont="1" applyFill="1" applyBorder="1" applyAlignment="1">
      <alignment horizontal="center" vertical="center" wrapText="1"/>
    </xf>
    <xf numFmtId="0" fontId="0" fillId="22" borderId="0" xfId="0" applyFill="1" applyAlignment="1">
      <alignment/>
    </xf>
    <xf numFmtId="198" fontId="14" fillId="0" borderId="0" xfId="0" applyNumberFormat="1" applyFont="1" applyFill="1" applyAlignment="1">
      <alignment/>
    </xf>
    <xf numFmtId="3" fontId="27" fillId="0" borderId="71" xfId="0" applyNumberFormat="1" applyFont="1" applyBorder="1" applyAlignment="1" applyProtection="1">
      <alignment vertical="center"/>
      <protection locked="0"/>
    </xf>
    <xf numFmtId="4" fontId="27" fillId="0" borderId="61" xfId="0" applyNumberFormat="1" applyFont="1" applyBorder="1" applyAlignment="1" applyProtection="1">
      <alignment vertical="center"/>
      <protection locked="0"/>
    </xf>
    <xf numFmtId="0" fontId="48" fillId="0" borderId="45" xfId="0" applyFont="1" applyBorder="1" applyAlignment="1" applyProtection="1">
      <alignment vertical="center"/>
      <protection locked="0"/>
    </xf>
    <xf numFmtId="3" fontId="39" fillId="0" borderId="10" xfId="0" applyNumberFormat="1" applyFont="1" applyBorder="1" applyAlignment="1" applyProtection="1">
      <alignment vertical="center"/>
      <protection locked="0"/>
    </xf>
    <xf numFmtId="4" fontId="7" fillId="26" borderId="10" xfId="60" applyNumberFormat="1" applyFont="1" applyFill="1" applyBorder="1" applyAlignment="1" applyProtection="1">
      <alignment vertical="center"/>
      <protection/>
    </xf>
    <xf numFmtId="4" fontId="17" fillId="24" borderId="10" xfId="60" applyNumberFormat="1" applyFont="1" applyFill="1" applyBorder="1" applyAlignment="1" applyProtection="1">
      <alignment vertical="center"/>
      <protection/>
    </xf>
    <xf numFmtId="198" fontId="14" fillId="24" borderId="0" xfId="0" applyNumberFormat="1" applyFont="1" applyFill="1" applyAlignment="1">
      <alignment/>
    </xf>
    <xf numFmtId="0" fontId="0" fillId="24" borderId="56" xfId="0" applyFont="1" applyFill="1" applyBorder="1" applyAlignment="1" applyProtection="1">
      <alignment horizontal="center" vertical="center" wrapText="1"/>
      <protection locked="0"/>
    </xf>
    <xf numFmtId="0" fontId="0" fillId="24" borderId="68" xfId="0" applyFont="1" applyFill="1" applyBorder="1" applyAlignment="1" applyProtection="1">
      <alignment horizontal="left" vertical="center" wrapText="1"/>
      <protection locked="0"/>
    </xf>
    <xf numFmtId="4" fontId="43" fillId="24" borderId="59" xfId="0" applyNumberFormat="1" applyFont="1" applyFill="1" applyBorder="1" applyAlignment="1" applyProtection="1">
      <alignment horizontal="right" vertical="center"/>
      <protection locked="0"/>
    </xf>
    <xf numFmtId="4" fontId="8" fillId="0" borderId="1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3" fontId="39" fillId="25" borderId="45" xfId="0" applyNumberFormat="1" applyFont="1" applyFill="1" applyBorder="1" applyAlignment="1" applyProtection="1">
      <alignment vertical="center"/>
      <protection locked="0"/>
    </xf>
    <xf numFmtId="3" fontId="39" fillId="25" borderId="44" xfId="0" applyNumberFormat="1" applyFont="1" applyFill="1" applyBorder="1" applyAlignment="1" applyProtection="1">
      <alignment vertical="center"/>
      <protection locked="0"/>
    </xf>
    <xf numFmtId="3" fontId="39" fillId="5" borderId="72" xfId="0" applyNumberFormat="1" applyFont="1" applyFill="1" applyBorder="1" applyAlignment="1" applyProtection="1">
      <alignment vertical="center"/>
      <protection locked="0"/>
    </xf>
    <xf numFmtId="198" fontId="0" fillId="10" borderId="0" xfId="0" applyNumberFormat="1" applyFill="1" applyAlignment="1">
      <alignment/>
    </xf>
    <xf numFmtId="1" fontId="41" fillId="0" borderId="18" xfId="60" applyNumberFormat="1" applyFont="1" applyFill="1" applyBorder="1" applyAlignment="1" applyProtection="1">
      <alignment horizontal="center" vertical="center"/>
      <protection/>
    </xf>
    <xf numFmtId="4" fontId="17" fillId="22" borderId="10" xfId="60" applyNumberFormat="1" applyFont="1" applyFill="1" applyBorder="1" applyAlignment="1" applyProtection="1">
      <alignment vertical="center"/>
      <protection/>
    </xf>
    <xf numFmtId="49" fontId="12" fillId="0" borderId="10" xfId="60" applyNumberFormat="1" applyFont="1" applyFill="1" applyBorder="1" applyAlignment="1" applyProtection="1">
      <alignment horizontal="center" vertical="center" wrapText="1"/>
      <protection/>
    </xf>
    <xf numFmtId="49" fontId="13" fillId="24" borderId="10" xfId="0" applyNumberFormat="1" applyFont="1" applyFill="1" applyBorder="1" applyAlignment="1" applyProtection="1">
      <alignment vertical="top" wrapText="1"/>
      <protection/>
    </xf>
    <xf numFmtId="49" fontId="26" fillId="0" borderId="18" xfId="0" applyNumberFormat="1" applyFont="1" applyFill="1" applyBorder="1" applyAlignment="1">
      <alignment horizontal="left" vertical="center"/>
    </xf>
    <xf numFmtId="3" fontId="8" fillId="0" borderId="18" xfId="60" applyNumberFormat="1" applyFont="1" applyFill="1" applyBorder="1" applyAlignment="1" applyProtection="1">
      <alignment vertical="center"/>
      <protection/>
    </xf>
    <xf numFmtId="3" fontId="17" fillId="0" borderId="18" xfId="61" applyNumberFormat="1" applyFont="1" applyFill="1" applyBorder="1" applyAlignment="1">
      <alignment horizontal="left" vertical="center" wrapText="1"/>
      <protection/>
    </xf>
    <xf numFmtId="49" fontId="0" fillId="0" borderId="18" xfId="0" applyNumberFormat="1" applyFont="1" applyFill="1" applyBorder="1" applyAlignment="1">
      <alignment vertical="center"/>
    </xf>
    <xf numFmtId="3" fontId="8" fillId="0" borderId="18" xfId="61" applyNumberFormat="1" applyFont="1" applyFill="1" applyBorder="1" applyAlignment="1">
      <alignment horizontal="left" vertical="center" wrapText="1"/>
      <protection/>
    </xf>
    <xf numFmtId="0" fontId="0" fillId="0" borderId="0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49" fontId="0" fillId="0" borderId="22" xfId="0" applyNumberFormat="1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49" fontId="0" fillId="0" borderId="22" xfId="0" applyNumberFormat="1" applyFont="1" applyFill="1" applyBorder="1" applyAlignment="1">
      <alignment horizontal="center"/>
    </xf>
    <xf numFmtId="49" fontId="0" fillId="0" borderId="22" xfId="0" applyNumberFormat="1" applyFont="1" applyFill="1" applyBorder="1" applyAlignment="1">
      <alignment horizontal="center"/>
    </xf>
    <xf numFmtId="49" fontId="8" fillId="0" borderId="22" xfId="60" applyNumberFormat="1" applyFont="1" applyFill="1" applyBorder="1" applyAlignment="1" applyProtection="1">
      <alignment horizontal="center" vertical="center" wrapText="1"/>
      <protection/>
    </xf>
    <xf numFmtId="0" fontId="0" fillId="22" borderId="18" xfId="0" applyFont="1" applyFill="1" applyBorder="1" applyAlignment="1">
      <alignment horizontal="center"/>
    </xf>
    <xf numFmtId="49" fontId="7" fillId="22" borderId="18" xfId="60" applyNumberFormat="1" applyFont="1" applyFill="1" applyBorder="1" applyAlignment="1" applyProtection="1">
      <alignment horizontal="center" vertical="center" wrapText="1"/>
      <protection/>
    </xf>
    <xf numFmtId="0" fontId="19" fillId="22" borderId="18" xfId="0" applyFont="1" applyFill="1" applyBorder="1" applyAlignment="1">
      <alignment vertical="center" wrapText="1"/>
    </xf>
    <xf numFmtId="0" fontId="19" fillId="22" borderId="18" xfId="0" applyFont="1" applyFill="1" applyBorder="1" applyAlignment="1">
      <alignment horizontal="center" vertical="center" wrapText="1"/>
    </xf>
    <xf numFmtId="49" fontId="14" fillId="22" borderId="18" xfId="0" applyNumberFormat="1" applyFont="1" applyFill="1" applyBorder="1" applyAlignment="1">
      <alignment horizontal="center"/>
    </xf>
    <xf numFmtId="0" fontId="0" fillId="24" borderId="18" xfId="0" applyFont="1" applyFill="1" applyBorder="1" applyAlignment="1">
      <alignment horizontal="center"/>
    </xf>
    <xf numFmtId="49" fontId="0" fillId="24" borderId="18" xfId="0" applyNumberFormat="1" applyFont="1" applyFill="1" applyBorder="1" applyAlignment="1">
      <alignment horizontal="center"/>
    </xf>
    <xf numFmtId="49" fontId="0" fillId="24" borderId="18" xfId="0" applyNumberFormat="1" applyFont="1" applyFill="1" applyBorder="1" applyAlignment="1">
      <alignment horizontal="center"/>
    </xf>
    <xf numFmtId="49" fontId="7" fillId="24" borderId="18" xfId="60" applyNumberFormat="1" applyFont="1" applyFill="1" applyBorder="1" applyAlignment="1" applyProtection="1">
      <alignment horizontal="center" vertical="center" wrapText="1"/>
      <protection/>
    </xf>
    <xf numFmtId="4" fontId="7" fillId="24" borderId="18" xfId="60" applyNumberFormat="1" applyFont="1" applyFill="1" applyBorder="1" applyAlignment="1" applyProtection="1">
      <alignment vertical="center"/>
      <protection/>
    </xf>
    <xf numFmtId="0" fontId="18" fillId="24" borderId="18" xfId="0" applyFont="1" applyFill="1" applyBorder="1" applyAlignment="1">
      <alignment horizontal="left" vertical="center" wrapText="1"/>
    </xf>
    <xf numFmtId="49" fontId="8" fillId="24" borderId="18" xfId="60" applyNumberFormat="1" applyFont="1" applyFill="1" applyBorder="1" applyAlignment="1" applyProtection="1">
      <alignment horizontal="center" vertical="center" wrapText="1"/>
      <protection/>
    </xf>
    <xf numFmtId="0" fontId="13" fillId="24" borderId="18" xfId="0" applyFont="1" applyFill="1" applyBorder="1" applyAlignment="1">
      <alignment horizontal="left" vertical="center" wrapText="1"/>
    </xf>
    <xf numFmtId="4" fontId="8" fillId="24" borderId="18" xfId="60" applyNumberFormat="1" applyFont="1" applyFill="1" applyBorder="1" applyAlignment="1" applyProtection="1">
      <alignment vertical="center"/>
      <protection/>
    </xf>
    <xf numFmtId="0" fontId="0" fillId="7" borderId="0" xfId="0" applyFill="1" applyAlignment="1">
      <alignment/>
    </xf>
    <xf numFmtId="49" fontId="0" fillId="7" borderId="12" xfId="0" applyNumberFormat="1" applyFont="1" applyFill="1" applyBorder="1" applyAlignment="1">
      <alignment horizontal="center"/>
    </xf>
    <xf numFmtId="49" fontId="0" fillId="24" borderId="18" xfId="0" applyNumberFormat="1" applyFont="1" applyFill="1" applyBorder="1" applyAlignment="1">
      <alignment horizontal="center"/>
    </xf>
    <xf numFmtId="0" fontId="0" fillId="24" borderId="18" xfId="0" applyFont="1" applyFill="1" applyBorder="1" applyAlignment="1">
      <alignment horizontal="center"/>
    </xf>
    <xf numFmtId="49" fontId="19" fillId="22" borderId="12" xfId="0" applyNumberFormat="1" applyFont="1" applyFill="1" applyBorder="1" applyAlignment="1" applyProtection="1">
      <alignment horizontal="left" vertical="top" wrapText="1"/>
      <protection/>
    </xf>
    <xf numFmtId="49" fontId="8" fillId="22" borderId="12" xfId="60" applyNumberFormat="1" applyFont="1" applyFill="1" applyBorder="1" applyAlignment="1" applyProtection="1">
      <alignment horizontal="center" vertical="center" wrapText="1"/>
      <protection/>
    </xf>
    <xf numFmtId="49" fontId="0" fillId="22" borderId="12" xfId="0" applyNumberFormat="1" applyFont="1" applyFill="1" applyBorder="1" applyAlignment="1">
      <alignment horizontal="center"/>
    </xf>
    <xf numFmtId="0" fontId="0" fillId="22" borderId="12" xfId="0" applyFont="1" applyFill="1" applyBorder="1" applyAlignment="1">
      <alignment horizontal="center"/>
    </xf>
    <xf numFmtId="0" fontId="0" fillId="22" borderId="12" xfId="0" applyFont="1" applyFill="1" applyBorder="1" applyAlignment="1">
      <alignment horizontal="center"/>
    </xf>
    <xf numFmtId="49" fontId="0" fillId="22" borderId="12" xfId="0" applyNumberFormat="1" applyFont="1" applyFill="1" applyBorder="1" applyAlignment="1">
      <alignment horizontal="center"/>
    </xf>
    <xf numFmtId="4" fontId="8" fillId="24" borderId="10" xfId="60" applyNumberFormat="1" applyFont="1" applyFill="1" applyBorder="1" applyAlignment="1" applyProtection="1">
      <alignment vertical="center"/>
      <protection/>
    </xf>
    <xf numFmtId="4" fontId="12" fillId="24" borderId="10" xfId="0" applyNumberFormat="1" applyFont="1" applyFill="1" applyBorder="1" applyAlignment="1" applyProtection="1">
      <alignment vertical="center"/>
      <protection/>
    </xf>
    <xf numFmtId="4" fontId="8" fillId="24" borderId="10" xfId="0" applyNumberFormat="1" applyFont="1" applyFill="1" applyBorder="1" applyAlignment="1" applyProtection="1">
      <alignment vertical="center"/>
      <protection/>
    </xf>
    <xf numFmtId="4" fontId="8" fillId="24" borderId="10" xfId="60" applyNumberFormat="1" applyFont="1" applyFill="1" applyBorder="1" applyAlignment="1" applyProtection="1">
      <alignment vertical="center"/>
      <protection/>
    </xf>
    <xf numFmtId="4" fontId="17" fillId="24" borderId="10" xfId="60" applyNumberFormat="1" applyFont="1" applyFill="1" applyBorder="1" applyAlignment="1" applyProtection="1">
      <alignment vertical="center"/>
      <protection/>
    </xf>
    <xf numFmtId="4" fontId="8" fillId="24" borderId="10" xfId="0" applyNumberFormat="1" applyFont="1" applyFill="1" applyBorder="1" applyAlignment="1" applyProtection="1">
      <alignment horizontal="right"/>
      <protection/>
    </xf>
    <xf numFmtId="4" fontId="17" fillId="22" borderId="12" xfId="60" applyNumberFormat="1" applyFont="1" applyFill="1" applyBorder="1" applyAlignment="1" applyProtection="1">
      <alignment vertical="center"/>
      <protection/>
    </xf>
    <xf numFmtId="4" fontId="17" fillId="24" borderId="10" xfId="0" applyNumberFormat="1" applyFont="1" applyFill="1" applyBorder="1" applyAlignment="1" applyProtection="1">
      <alignment vertical="center"/>
      <protection/>
    </xf>
    <xf numFmtId="4" fontId="17" fillId="0" borderId="18" xfId="60" applyNumberFormat="1" applyFont="1" applyFill="1" applyBorder="1" applyAlignment="1" applyProtection="1">
      <alignment vertical="center"/>
      <protection/>
    </xf>
    <xf numFmtId="4" fontId="17" fillId="24" borderId="18" xfId="60" applyNumberFormat="1" applyFont="1" applyFill="1" applyBorder="1" applyAlignment="1" applyProtection="1">
      <alignment vertical="center"/>
      <protection/>
    </xf>
    <xf numFmtId="4" fontId="7" fillId="24" borderId="10" xfId="60" applyNumberFormat="1" applyFont="1" applyFill="1" applyBorder="1" applyAlignment="1" applyProtection="1">
      <alignment vertical="center"/>
      <protection/>
    </xf>
    <xf numFmtId="0" fontId="0" fillId="8" borderId="0" xfId="0" applyFill="1" applyAlignment="1">
      <alignment/>
    </xf>
    <xf numFmtId="0" fontId="0" fillId="24" borderId="18" xfId="0" applyFill="1" applyBorder="1" applyAlignment="1" applyProtection="1">
      <alignment vertical="center" wrapText="1"/>
      <protection locked="0"/>
    </xf>
    <xf numFmtId="0" fontId="0" fillId="24" borderId="18" xfId="0" applyFill="1" applyBorder="1" applyAlignment="1" applyProtection="1">
      <alignment horizontal="left" vertical="center" wrapText="1"/>
      <protection locked="0"/>
    </xf>
    <xf numFmtId="4" fontId="43" fillId="24" borderId="18" xfId="0" applyNumberFormat="1" applyFont="1" applyFill="1" applyBorder="1" applyAlignment="1" applyProtection="1">
      <alignment horizontal="right" vertical="center"/>
      <protection locked="0"/>
    </xf>
    <xf numFmtId="10" fontId="43" fillId="24" borderId="80" xfId="0" applyNumberFormat="1" applyFont="1" applyFill="1" applyBorder="1" applyAlignment="1" applyProtection="1">
      <alignment horizontal="center" vertical="center"/>
      <protection locked="0"/>
    </xf>
    <xf numFmtId="10" fontId="43" fillId="24" borderId="81" xfId="0" applyNumberFormat="1" applyFont="1" applyFill="1" applyBorder="1" applyAlignment="1" applyProtection="1">
      <alignment horizontal="center" vertical="center"/>
      <protection locked="0"/>
    </xf>
    <xf numFmtId="4" fontId="7" fillId="22" borderId="22" xfId="60" applyNumberFormat="1" applyFont="1" applyFill="1" applyBorder="1" applyAlignment="1" applyProtection="1">
      <alignment vertical="center"/>
      <protection/>
    </xf>
    <xf numFmtId="0" fontId="17" fillId="0" borderId="10" xfId="60" applyFont="1" applyFill="1" applyBorder="1">
      <alignment/>
      <protection/>
    </xf>
    <xf numFmtId="4" fontId="7" fillId="5" borderId="10" xfId="60" applyNumberFormat="1" applyFont="1" applyFill="1" applyBorder="1" applyAlignment="1" applyProtection="1">
      <alignment vertical="center"/>
      <protection/>
    </xf>
    <xf numFmtId="4" fontId="7" fillId="24" borderId="29" xfId="60" applyNumberFormat="1" applyFont="1" applyFill="1" applyBorder="1" applyAlignment="1" applyProtection="1">
      <alignment vertical="center" wrapText="1"/>
      <protection/>
    </xf>
    <xf numFmtId="4" fontId="7" fillId="24" borderId="10" xfId="60" applyNumberFormat="1" applyFont="1" applyFill="1" applyBorder="1" applyAlignment="1" applyProtection="1">
      <alignment vertical="center" wrapText="1"/>
      <protection/>
    </xf>
    <xf numFmtId="4" fontId="17" fillId="24" borderId="10" xfId="0" applyNumberFormat="1" applyFont="1" applyFill="1" applyBorder="1" applyAlignment="1" applyProtection="1">
      <alignment horizontal="center"/>
      <protection/>
    </xf>
    <xf numFmtId="4" fontId="17" fillId="24" borderId="10" xfId="0" applyNumberFormat="1" applyFont="1" applyFill="1" applyBorder="1" applyAlignment="1" applyProtection="1">
      <alignment horizontal="right"/>
      <protection/>
    </xf>
    <xf numFmtId="4" fontId="8" fillId="24" borderId="12" xfId="60" applyNumberFormat="1" applyFont="1" applyFill="1" applyBorder="1" applyAlignment="1" applyProtection="1">
      <alignment vertical="center"/>
      <protection/>
    </xf>
    <xf numFmtId="4" fontId="31" fillId="24" borderId="17" xfId="0" applyNumberFormat="1" applyFont="1" applyFill="1" applyBorder="1" applyAlignment="1" applyProtection="1">
      <alignment/>
      <protection/>
    </xf>
    <xf numFmtId="0" fontId="0" fillId="24" borderId="0" xfId="0" applyFill="1" applyAlignment="1">
      <alignment/>
    </xf>
    <xf numFmtId="0" fontId="11" fillId="24" borderId="10" xfId="0" applyFont="1" applyFill="1" applyBorder="1" applyAlignment="1" applyProtection="1">
      <alignment vertical="center" wrapText="1"/>
      <protection/>
    </xf>
    <xf numFmtId="3" fontId="6" fillId="24" borderId="10" xfId="0" applyNumberFormat="1" applyFont="1" applyFill="1" applyBorder="1" applyAlignment="1" applyProtection="1">
      <alignment/>
      <protection/>
    </xf>
    <xf numFmtId="4" fontId="11" fillId="4" borderId="10" xfId="0" applyNumberFormat="1" applyFont="1" applyFill="1" applyBorder="1" applyAlignment="1" applyProtection="1">
      <alignment/>
      <protection/>
    </xf>
    <xf numFmtId="4" fontId="17" fillId="0" borderId="18" xfId="60" applyNumberFormat="1" applyFont="1" applyFill="1" applyBorder="1" applyAlignment="1" applyProtection="1">
      <alignment horizontal="right" vertical="center"/>
      <protection/>
    </xf>
    <xf numFmtId="4" fontId="8" fillId="0" borderId="18" xfId="60" applyNumberFormat="1" applyFont="1" applyFill="1" applyBorder="1" applyAlignment="1" applyProtection="1">
      <alignment horizontal="right" vertical="center"/>
      <protection/>
    </xf>
    <xf numFmtId="4" fontId="7" fillId="27" borderId="10" xfId="60" applyNumberFormat="1" applyFont="1" applyFill="1" applyBorder="1" applyAlignment="1" applyProtection="1">
      <alignment vertical="center"/>
      <protection/>
    </xf>
    <xf numFmtId="4" fontId="7" fillId="3" borderId="10" xfId="60" applyNumberFormat="1" applyFont="1" applyFill="1" applyBorder="1" applyAlignment="1" applyProtection="1">
      <alignment vertical="center"/>
      <protection/>
    </xf>
    <xf numFmtId="3" fontId="39" fillId="24" borderId="72" xfId="0" applyNumberFormat="1" applyFont="1" applyFill="1" applyBorder="1" applyAlignment="1" applyProtection="1">
      <alignment vertical="center"/>
      <protection locked="0"/>
    </xf>
    <xf numFmtId="4" fontId="6" fillId="24" borderId="10" xfId="0" applyNumberFormat="1" applyFont="1" applyFill="1" applyBorder="1" applyAlignment="1" applyProtection="1">
      <alignment/>
      <protection/>
    </xf>
    <xf numFmtId="4" fontId="11" fillId="24" borderId="10" xfId="0" applyNumberFormat="1" applyFont="1" applyFill="1" applyBorder="1" applyAlignment="1" applyProtection="1">
      <alignment/>
      <protection/>
    </xf>
    <xf numFmtId="4" fontId="43" fillId="24" borderId="45" xfId="0" applyNumberFormat="1" applyFont="1" applyFill="1" applyBorder="1" applyAlignment="1" applyProtection="1">
      <alignment horizontal="right" vertical="center" wrapText="1"/>
      <protection/>
    </xf>
    <xf numFmtId="4" fontId="43" fillId="0" borderId="20" xfId="0" applyNumberFormat="1" applyFont="1" applyFill="1" applyBorder="1" applyAlignment="1" applyProtection="1">
      <alignment horizontal="right" vertical="center"/>
      <protection locked="0"/>
    </xf>
    <xf numFmtId="4" fontId="43" fillId="0" borderId="82" xfId="0" applyNumberFormat="1" applyFont="1" applyFill="1" applyBorder="1" applyAlignment="1" applyProtection="1">
      <alignment horizontal="right" vertical="center" wrapText="1"/>
      <protection locked="0"/>
    </xf>
    <xf numFmtId="4" fontId="43" fillId="0" borderId="24" xfId="0" applyNumberFormat="1" applyFont="1" applyFill="1" applyBorder="1" applyAlignment="1" applyProtection="1">
      <alignment horizontal="right" vertical="center" wrapText="1"/>
      <protection locked="0"/>
    </xf>
    <xf numFmtId="4" fontId="43" fillId="0" borderId="54" xfId="0" applyNumberFormat="1" applyFont="1" applyFill="1" applyBorder="1" applyAlignment="1" applyProtection="1">
      <alignment horizontal="right" vertical="center"/>
      <protection locked="0"/>
    </xf>
    <xf numFmtId="4" fontId="43" fillId="0" borderId="64" xfId="0" applyNumberFormat="1" applyFont="1" applyFill="1" applyBorder="1" applyAlignment="1" applyProtection="1">
      <alignment horizontal="right" vertical="center" wrapText="1"/>
      <protection locked="0"/>
    </xf>
    <xf numFmtId="4" fontId="43" fillId="0" borderId="10" xfId="0" applyNumberFormat="1" applyFont="1" applyFill="1" applyBorder="1" applyAlignment="1" applyProtection="1">
      <alignment horizontal="right" vertical="center"/>
      <protection locked="0"/>
    </xf>
    <xf numFmtId="4" fontId="43" fillId="0" borderId="83" xfId="0" applyNumberFormat="1" applyFont="1" applyFill="1" applyBorder="1" applyAlignment="1" applyProtection="1">
      <alignment horizontal="right" vertical="center" wrapText="1"/>
      <protection locked="0"/>
    </xf>
    <xf numFmtId="4" fontId="43" fillId="24" borderId="61" xfId="0" applyNumberFormat="1" applyFont="1" applyFill="1" applyBorder="1" applyAlignment="1" applyProtection="1">
      <alignment horizontal="right" vertical="center" wrapText="1"/>
      <protection locked="0"/>
    </xf>
    <xf numFmtId="4" fontId="43" fillId="24" borderId="20" xfId="0" applyNumberFormat="1" applyFont="1" applyFill="1" applyBorder="1" applyAlignment="1" applyProtection="1">
      <alignment horizontal="right" vertical="center" wrapText="1"/>
      <protection locked="0"/>
    </xf>
    <xf numFmtId="4" fontId="43" fillId="24" borderId="10" xfId="0" applyNumberFormat="1" applyFont="1" applyFill="1" applyBorder="1" applyAlignment="1" applyProtection="1">
      <alignment horizontal="right" vertical="center" wrapText="1"/>
      <protection locked="0"/>
    </xf>
    <xf numFmtId="4" fontId="43" fillId="24" borderId="11" xfId="0" applyNumberFormat="1" applyFont="1" applyFill="1" applyBorder="1" applyAlignment="1" applyProtection="1">
      <alignment horizontal="right" vertical="center" wrapText="1"/>
      <protection locked="0"/>
    </xf>
    <xf numFmtId="4" fontId="43" fillId="0" borderId="11" xfId="0" applyNumberFormat="1" applyFont="1" applyFill="1" applyBorder="1" applyAlignment="1" applyProtection="1">
      <alignment horizontal="right" vertical="center"/>
      <protection locked="0"/>
    </xf>
    <xf numFmtId="4" fontId="43" fillId="24" borderId="59" xfId="0" applyNumberFormat="1" applyFont="1" applyFill="1" applyBorder="1" applyAlignment="1" applyProtection="1">
      <alignment horizontal="right" vertical="center" wrapText="1"/>
      <protection locked="0"/>
    </xf>
    <xf numFmtId="4" fontId="43" fillId="24" borderId="18" xfId="0" applyNumberFormat="1" applyFont="1" applyFill="1" applyBorder="1" applyAlignment="1" applyProtection="1">
      <alignment horizontal="right" vertical="center" wrapText="1"/>
      <protection locked="0"/>
    </xf>
    <xf numFmtId="4" fontId="43" fillId="0" borderId="18" xfId="0" applyNumberFormat="1" applyFont="1" applyFill="1" applyBorder="1" applyAlignment="1" applyProtection="1">
      <alignment horizontal="right" vertical="center"/>
      <protection locked="0"/>
    </xf>
    <xf numFmtId="4" fontId="43" fillId="24" borderId="68" xfId="0" applyNumberFormat="1" applyFont="1" applyFill="1" applyBorder="1" applyAlignment="1" applyProtection="1">
      <alignment horizontal="right" vertical="center" wrapText="1"/>
      <protection locked="0"/>
    </xf>
    <xf numFmtId="4" fontId="43" fillId="24" borderId="66" xfId="0" applyNumberFormat="1" applyFont="1" applyFill="1" applyBorder="1" applyAlignment="1" applyProtection="1">
      <alignment horizontal="right" vertical="center"/>
      <protection/>
    </xf>
    <xf numFmtId="4" fontId="43" fillId="24" borderId="66" xfId="0" applyNumberFormat="1" applyFont="1" applyFill="1" applyBorder="1" applyAlignment="1" applyProtection="1">
      <alignment horizontal="right" vertical="center" wrapText="1"/>
      <protection locked="0"/>
    </xf>
    <xf numFmtId="4" fontId="43" fillId="24" borderId="68" xfId="0" applyNumberFormat="1" applyFont="1" applyFill="1" applyBorder="1" applyAlignment="1" applyProtection="1">
      <alignment horizontal="right" vertical="center" wrapText="1"/>
      <protection locked="0"/>
    </xf>
    <xf numFmtId="4" fontId="47" fillId="24" borderId="45" xfId="0" applyNumberFormat="1" applyFont="1" applyFill="1" applyBorder="1" applyAlignment="1" applyProtection="1">
      <alignment vertical="center"/>
      <protection locked="0"/>
    </xf>
    <xf numFmtId="0" fontId="14" fillId="0" borderId="84" xfId="0" applyFont="1" applyFill="1" applyBorder="1" applyAlignment="1">
      <alignment horizontal="center"/>
    </xf>
    <xf numFmtId="0" fontId="14" fillId="0" borderId="85" xfId="0" applyFont="1" applyFill="1" applyBorder="1" applyAlignment="1">
      <alignment horizontal="center"/>
    </xf>
    <xf numFmtId="49" fontId="0" fillId="0" borderId="66" xfId="0" applyNumberFormat="1" applyFont="1" applyFill="1" applyBorder="1" applyAlignment="1">
      <alignment horizontal="center"/>
    </xf>
    <xf numFmtId="0" fontId="0" fillId="0" borderId="66" xfId="0" applyFont="1" applyFill="1" applyBorder="1" applyAlignment="1">
      <alignment horizontal="center"/>
    </xf>
    <xf numFmtId="49" fontId="14" fillId="0" borderId="66" xfId="0" applyNumberFormat="1" applyFont="1" applyFill="1" applyBorder="1" applyAlignment="1">
      <alignment horizontal="center"/>
    </xf>
    <xf numFmtId="49" fontId="0" fillId="0" borderId="66" xfId="0" applyNumberFormat="1" applyFont="1" applyFill="1" applyBorder="1" applyAlignment="1">
      <alignment horizontal="center"/>
    </xf>
    <xf numFmtId="49" fontId="18" fillId="0" borderId="66" xfId="0" applyNumberFormat="1" applyFont="1" applyFill="1" applyBorder="1" applyAlignment="1" applyProtection="1">
      <alignment horizontal="center" vertical="center" wrapText="1"/>
      <protection/>
    </xf>
    <xf numFmtId="49" fontId="17" fillId="0" borderId="66" xfId="0" applyNumberFormat="1" applyFont="1" applyFill="1" applyBorder="1" applyAlignment="1" applyProtection="1">
      <alignment wrapText="1"/>
      <protection/>
    </xf>
    <xf numFmtId="4" fontId="17" fillId="0" borderId="66" xfId="60" applyNumberFormat="1" applyFont="1" applyFill="1" applyBorder="1" applyAlignment="1" applyProtection="1">
      <alignment vertical="center"/>
      <protection/>
    </xf>
    <xf numFmtId="4" fontId="17" fillId="26" borderId="86" xfId="60" applyNumberFormat="1" applyFont="1" applyFill="1" applyBorder="1" applyAlignment="1" applyProtection="1">
      <alignment vertical="center"/>
      <protection/>
    </xf>
    <xf numFmtId="0" fontId="29" fillId="0" borderId="45" xfId="0" applyFont="1" applyBorder="1" applyAlignment="1" applyProtection="1">
      <alignment horizontal="center" vertical="center"/>
      <protection locked="0"/>
    </xf>
    <xf numFmtId="4" fontId="29" fillId="0" borderId="47" xfId="0" applyNumberFormat="1" applyFont="1" applyBorder="1" applyAlignment="1" applyProtection="1">
      <alignment vertical="center"/>
      <protection locked="0"/>
    </xf>
    <xf numFmtId="49" fontId="13" fillId="0" borderId="54" xfId="0" applyNumberFormat="1" applyFont="1" applyFill="1" applyBorder="1" applyAlignment="1" applyProtection="1">
      <alignment vertical="top" wrapText="1"/>
      <protection/>
    </xf>
    <xf numFmtId="49" fontId="8" fillId="0" borderId="0" xfId="0" applyNumberFormat="1" applyFont="1" applyFill="1" applyBorder="1" applyAlignment="1" applyProtection="1">
      <alignment wrapText="1"/>
      <protection/>
    </xf>
    <xf numFmtId="49" fontId="13" fillId="0" borderId="0" xfId="0" applyNumberFormat="1" applyFont="1" applyFill="1" applyBorder="1" applyAlignment="1" applyProtection="1">
      <alignment wrapText="1"/>
      <protection/>
    </xf>
    <xf numFmtId="0" fontId="0" fillId="0" borderId="11" xfId="0" applyFont="1" applyFill="1" applyBorder="1" applyAlignment="1">
      <alignment horizontal="center"/>
    </xf>
    <xf numFmtId="49" fontId="0" fillId="0" borderId="11" xfId="0" applyNumberFormat="1" applyFont="1" applyFill="1" applyBorder="1" applyAlignment="1">
      <alignment horizontal="center"/>
    </xf>
    <xf numFmtId="49" fontId="13" fillId="0" borderId="11" xfId="0" applyNumberFormat="1" applyFont="1" applyFill="1" applyBorder="1" applyAlignment="1" applyProtection="1">
      <alignment vertical="top" wrapText="1"/>
      <protection/>
    </xf>
    <xf numFmtId="0" fontId="0" fillId="0" borderId="84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49" fontId="0" fillId="0" borderId="54" xfId="0" applyNumberFormat="1" applyFont="1" applyFill="1" applyBorder="1" applyAlignment="1">
      <alignment horizontal="center"/>
    </xf>
    <xf numFmtId="0" fontId="0" fillId="0" borderId="54" xfId="0" applyFont="1" applyFill="1" applyBorder="1" applyAlignment="1">
      <alignment horizontal="center"/>
    </xf>
    <xf numFmtId="49" fontId="0" fillId="0" borderId="54" xfId="0" applyNumberFormat="1" applyFont="1" applyFill="1" applyBorder="1" applyAlignment="1">
      <alignment horizontal="center"/>
    </xf>
    <xf numFmtId="49" fontId="0" fillId="0" borderId="54" xfId="0" applyNumberFormat="1" applyFont="1" applyFill="1" applyBorder="1" applyAlignment="1">
      <alignment horizontal="center"/>
    </xf>
    <xf numFmtId="49" fontId="13" fillId="0" borderId="54" xfId="0" applyNumberFormat="1" applyFont="1" applyFill="1" applyBorder="1" applyAlignment="1" applyProtection="1">
      <alignment horizontal="center" vertical="center" wrapText="1"/>
      <protection/>
    </xf>
    <xf numFmtId="0" fontId="19" fillId="0" borderId="87" xfId="0" applyFont="1" applyFill="1" applyBorder="1" applyAlignment="1">
      <alignment vertical="center" wrapText="1"/>
    </xf>
    <xf numFmtId="4" fontId="7" fillId="24" borderId="54" xfId="60" applyNumberFormat="1" applyFont="1" applyFill="1" applyBorder="1" applyAlignment="1" applyProtection="1">
      <alignment vertical="center"/>
      <protection/>
    </xf>
    <xf numFmtId="4" fontId="7" fillId="24" borderId="77" xfId="60" applyNumberFormat="1" applyFont="1" applyFill="1" applyBorder="1" applyAlignment="1" applyProtection="1">
      <alignment vertical="center"/>
      <protection/>
    </xf>
    <xf numFmtId="0" fontId="18" fillId="0" borderId="28" xfId="0" applyFont="1" applyFill="1" applyBorder="1" applyAlignment="1">
      <alignment vertical="center" wrapText="1"/>
    </xf>
    <xf numFmtId="4" fontId="7" fillId="24" borderId="11" xfId="60" applyNumberFormat="1" applyFont="1" applyFill="1" applyBorder="1" applyAlignment="1" applyProtection="1">
      <alignment vertical="center"/>
      <protection/>
    </xf>
    <xf numFmtId="4" fontId="7" fillId="26" borderId="18" xfId="60" applyNumberFormat="1" applyFont="1" applyFill="1" applyBorder="1" applyAlignment="1" applyProtection="1">
      <alignment vertical="center"/>
      <protection/>
    </xf>
    <xf numFmtId="4" fontId="17" fillId="26" borderId="10" xfId="60" applyNumberFormat="1" applyFont="1" applyFill="1" applyBorder="1" applyAlignment="1" applyProtection="1">
      <alignment vertical="center"/>
      <protection/>
    </xf>
    <xf numFmtId="4" fontId="7" fillId="0" borderId="10" xfId="0" applyNumberFormat="1" applyFont="1" applyFill="1" applyBorder="1" applyAlignment="1" applyProtection="1">
      <alignment vertical="center"/>
      <protection/>
    </xf>
    <xf numFmtId="4" fontId="8" fillId="26" borderId="10" xfId="60" applyNumberFormat="1" applyFont="1" applyFill="1" applyBorder="1" applyAlignment="1" applyProtection="1">
      <alignment vertical="center"/>
      <protection/>
    </xf>
    <xf numFmtId="4" fontId="17" fillId="26" borderId="12" xfId="60" applyNumberFormat="1" applyFont="1" applyFill="1" applyBorder="1" applyAlignment="1" applyProtection="1">
      <alignment horizontal="right" vertical="center"/>
      <protection/>
    </xf>
    <xf numFmtId="0" fontId="0" fillId="26" borderId="0" xfId="0" applyFill="1" applyAlignment="1">
      <alignment/>
    </xf>
    <xf numFmtId="4" fontId="7" fillId="26" borderId="22" xfId="60" applyNumberFormat="1" applyFont="1" applyFill="1" applyBorder="1" applyAlignment="1" applyProtection="1">
      <alignment vertical="center"/>
      <protection/>
    </xf>
    <xf numFmtId="4" fontId="17" fillId="26" borderId="18" xfId="60" applyNumberFormat="1" applyFont="1" applyFill="1" applyBorder="1" applyAlignment="1" applyProtection="1">
      <alignment vertical="center"/>
      <protection/>
    </xf>
    <xf numFmtId="4" fontId="43" fillId="24" borderId="54" xfId="0" applyNumberFormat="1" applyFont="1" applyFill="1" applyBorder="1" applyAlignment="1" applyProtection="1">
      <alignment horizontal="right" vertical="center"/>
      <protection locked="0"/>
    </xf>
    <xf numFmtId="0" fontId="0" fillId="24" borderId="18" xfId="0" applyFill="1" applyBorder="1" applyAlignment="1" applyProtection="1">
      <alignment horizontal="center" vertical="center" wrapText="1"/>
      <protection locked="0"/>
    </xf>
    <xf numFmtId="10" fontId="43" fillId="24" borderId="18" xfId="0" applyNumberFormat="1" applyFont="1" applyFill="1" applyBorder="1" applyAlignment="1" applyProtection="1">
      <alignment horizontal="center" vertical="center"/>
      <protection locked="0"/>
    </xf>
    <xf numFmtId="0" fontId="0" fillId="24" borderId="54" xfId="0" applyFont="1" applyFill="1" applyBorder="1" applyAlignment="1" applyProtection="1">
      <alignment vertical="center" wrapText="1"/>
      <protection/>
    </xf>
    <xf numFmtId="0" fontId="0" fillId="24" borderId="54" xfId="0" applyFont="1" applyFill="1" applyBorder="1" applyAlignment="1" applyProtection="1">
      <alignment horizontal="left" vertical="center" wrapText="1"/>
      <protection/>
    </xf>
    <xf numFmtId="4" fontId="43" fillId="24" borderId="54" xfId="0" applyNumberFormat="1" applyFont="1" applyFill="1" applyBorder="1" applyAlignment="1" applyProtection="1">
      <alignment horizontal="right" vertical="center" wrapText="1"/>
      <protection/>
    </xf>
    <xf numFmtId="4" fontId="43" fillId="24" borderId="54" xfId="0" applyNumberFormat="1" applyFont="1" applyFill="1" applyBorder="1" applyAlignment="1" applyProtection="1">
      <alignment horizontal="right" vertical="center"/>
      <protection/>
    </xf>
    <xf numFmtId="0" fontId="0" fillId="24" borderId="18" xfId="0" applyFont="1" applyFill="1" applyBorder="1" applyAlignment="1" applyProtection="1">
      <alignment vertical="center" wrapText="1"/>
      <protection locked="0"/>
    </xf>
    <xf numFmtId="0" fontId="0" fillId="24" borderId="18" xfId="0" applyFont="1" applyFill="1" applyBorder="1" applyAlignment="1" applyProtection="1">
      <alignment horizontal="left" vertical="center" wrapText="1"/>
      <protection locked="0"/>
    </xf>
    <xf numFmtId="4" fontId="43" fillId="24" borderId="88" xfId="0" applyNumberFormat="1" applyFont="1" applyFill="1" applyBorder="1" applyAlignment="1" applyProtection="1">
      <alignment horizontal="right" vertical="center"/>
      <protection locked="0"/>
    </xf>
    <xf numFmtId="10" fontId="43" fillId="24" borderId="89" xfId="0" applyNumberFormat="1" applyFont="1" applyFill="1" applyBorder="1" applyAlignment="1" applyProtection="1">
      <alignment horizontal="center" vertical="center"/>
      <protection locked="0"/>
    </xf>
    <xf numFmtId="0" fontId="16" fillId="20" borderId="45" xfId="0" applyFont="1" applyFill="1" applyBorder="1" applyAlignment="1" applyProtection="1">
      <alignment horizontal="center" vertical="center" wrapText="1"/>
      <protection/>
    </xf>
    <xf numFmtId="0" fontId="16" fillId="20" borderId="45" xfId="0" applyFont="1" applyFill="1" applyBorder="1" applyAlignment="1" applyProtection="1">
      <alignment vertical="center" wrapText="1"/>
      <protection/>
    </xf>
    <xf numFmtId="0" fontId="16" fillId="20" borderId="45" xfId="0" applyFont="1" applyFill="1" applyBorder="1" applyAlignment="1" applyProtection="1">
      <alignment horizontal="left" vertical="center" wrapText="1"/>
      <protection/>
    </xf>
    <xf numFmtId="4" fontId="16" fillId="20" borderId="45" xfId="0" applyNumberFormat="1" applyFont="1" applyFill="1" applyBorder="1" applyAlignment="1" applyProtection="1">
      <alignment horizontal="right" vertical="center" wrapText="1"/>
      <protection/>
    </xf>
    <xf numFmtId="4" fontId="16" fillId="20" borderId="45" xfId="0" applyNumberFormat="1" applyFont="1" applyFill="1" applyBorder="1" applyAlignment="1" applyProtection="1">
      <alignment horizontal="right" vertical="center"/>
      <protection/>
    </xf>
    <xf numFmtId="10" fontId="16" fillId="20" borderId="73" xfId="0" applyNumberFormat="1" applyFont="1" applyFill="1" applyBorder="1" applyAlignment="1" applyProtection="1">
      <alignment horizontal="center" vertical="center"/>
      <protection locked="0"/>
    </xf>
    <xf numFmtId="10" fontId="16" fillId="20" borderId="45" xfId="0" applyNumberFormat="1" applyFont="1" applyFill="1" applyBorder="1" applyAlignment="1" applyProtection="1">
      <alignment horizontal="center" vertical="center"/>
      <protection locked="0"/>
    </xf>
    <xf numFmtId="0" fontId="16" fillId="20" borderId="73" xfId="0" applyFont="1" applyFill="1" applyBorder="1" applyAlignment="1" applyProtection="1">
      <alignment horizontal="center" vertical="center" wrapText="1"/>
      <protection/>
    </xf>
    <xf numFmtId="0" fontId="16" fillId="20" borderId="90" xfId="0" applyFont="1" applyFill="1" applyBorder="1" applyAlignment="1" applyProtection="1">
      <alignment horizontal="center" vertical="center" wrapText="1"/>
      <protection/>
    </xf>
    <xf numFmtId="0" fontId="16" fillId="20" borderId="44" xfId="0" applyFont="1" applyFill="1" applyBorder="1" applyAlignment="1" applyProtection="1">
      <alignment vertical="center" wrapText="1"/>
      <protection/>
    </xf>
    <xf numFmtId="0" fontId="16" fillId="20" borderId="44" xfId="0" applyFont="1" applyFill="1" applyBorder="1" applyAlignment="1" applyProtection="1">
      <alignment horizontal="left" vertical="center" wrapText="1"/>
      <protection/>
    </xf>
    <xf numFmtId="10" fontId="16" fillId="20" borderId="49" xfId="0" applyNumberFormat="1" applyFont="1" applyFill="1" applyBorder="1" applyAlignment="1" applyProtection="1">
      <alignment horizontal="center" vertical="center"/>
      <protection locked="0"/>
    </xf>
    <xf numFmtId="0" fontId="6" fillId="20" borderId="90" xfId="0" applyFont="1" applyFill="1" applyBorder="1" applyAlignment="1" applyProtection="1">
      <alignment horizontal="center" vertical="center" wrapText="1"/>
      <protection locked="0"/>
    </xf>
    <xf numFmtId="0" fontId="16" fillId="20" borderId="45" xfId="0" applyFont="1" applyFill="1" applyBorder="1" applyAlignment="1" applyProtection="1">
      <alignment vertical="center" wrapText="1"/>
      <protection locked="0"/>
    </xf>
    <xf numFmtId="0" fontId="16" fillId="20" borderId="45" xfId="0" applyFont="1" applyFill="1" applyBorder="1" applyAlignment="1" applyProtection="1">
      <alignment horizontal="left" vertical="center" wrapText="1"/>
      <protection locked="0"/>
    </xf>
    <xf numFmtId="4" fontId="16" fillId="20" borderId="45" xfId="0" applyNumberFormat="1" applyFont="1" applyFill="1" applyBorder="1" applyAlignment="1" applyProtection="1">
      <alignment horizontal="right" vertical="center" wrapText="1"/>
      <protection locked="0"/>
    </xf>
    <xf numFmtId="4" fontId="16" fillId="20" borderId="45" xfId="0" applyNumberFormat="1" applyFont="1" applyFill="1" applyBorder="1" applyAlignment="1" applyProtection="1">
      <alignment horizontal="right" vertical="center"/>
      <protection locked="0"/>
    </xf>
    <xf numFmtId="10" fontId="16" fillId="20" borderId="46" xfId="0" applyNumberFormat="1" applyFont="1" applyFill="1" applyBorder="1" applyAlignment="1" applyProtection="1">
      <alignment horizontal="center" vertical="center"/>
      <protection locked="0"/>
    </xf>
    <xf numFmtId="0" fontId="16" fillId="20" borderId="91" xfId="0" applyFont="1" applyFill="1" applyBorder="1" applyAlignment="1" applyProtection="1">
      <alignment horizontal="center" vertical="center" wrapText="1"/>
      <protection/>
    </xf>
    <xf numFmtId="0" fontId="16" fillId="20" borderId="71" xfId="0" applyFont="1" applyFill="1" applyBorder="1" applyAlignment="1" applyProtection="1">
      <alignment vertical="center" wrapText="1"/>
      <protection/>
    </xf>
    <xf numFmtId="0" fontId="16" fillId="20" borderId="47" xfId="0" applyFont="1" applyFill="1" applyBorder="1" applyAlignment="1" applyProtection="1">
      <alignment horizontal="left" vertical="center" wrapText="1"/>
      <protection locked="0"/>
    </xf>
    <xf numFmtId="4" fontId="16" fillId="20" borderId="71" xfId="0" applyNumberFormat="1" applyFont="1" applyFill="1" applyBorder="1" applyAlignment="1" applyProtection="1">
      <alignment horizontal="right" vertical="center" wrapText="1"/>
      <protection/>
    </xf>
    <xf numFmtId="4" fontId="16" fillId="20" borderId="71" xfId="0" applyNumberFormat="1" applyFont="1" applyFill="1" applyBorder="1" applyAlignment="1" applyProtection="1">
      <alignment horizontal="right" vertical="center"/>
      <protection/>
    </xf>
    <xf numFmtId="0" fontId="16" fillId="20" borderId="92" xfId="0" applyFont="1" applyFill="1" applyBorder="1" applyAlignment="1" applyProtection="1">
      <alignment horizontal="center" vertical="center" wrapText="1"/>
      <protection locked="0"/>
    </xf>
    <xf numFmtId="0" fontId="16" fillId="20" borderId="93" xfId="0" applyFont="1" applyFill="1" applyBorder="1" applyAlignment="1" applyProtection="1">
      <alignment vertical="center" wrapText="1"/>
      <protection locked="0"/>
    </xf>
    <xf numFmtId="0" fontId="16" fillId="20" borderId="93" xfId="0" applyFont="1" applyFill="1" applyBorder="1" applyAlignment="1" applyProtection="1">
      <alignment horizontal="left" vertical="center" wrapText="1"/>
      <protection locked="0"/>
    </xf>
    <xf numFmtId="4" fontId="16" fillId="20" borderId="93" xfId="0" applyNumberFormat="1" applyFont="1" applyFill="1" applyBorder="1" applyAlignment="1" applyProtection="1">
      <alignment horizontal="right" vertical="center" wrapText="1"/>
      <protection locked="0"/>
    </xf>
    <xf numFmtId="4" fontId="16" fillId="20" borderId="59" xfId="0" applyNumberFormat="1" applyFont="1" applyFill="1" applyBorder="1" applyAlignment="1" applyProtection="1">
      <alignment horizontal="right" vertical="center"/>
      <protection locked="0"/>
    </xf>
    <xf numFmtId="4" fontId="16" fillId="20" borderId="93" xfId="0" applyNumberFormat="1" applyFont="1" applyFill="1" applyBorder="1" applyAlignment="1" applyProtection="1">
      <alignment horizontal="right" vertical="center"/>
      <protection locked="0"/>
    </xf>
    <xf numFmtId="4" fontId="43" fillId="24" borderId="59" xfId="0" applyNumberFormat="1" applyFont="1" applyFill="1" applyBorder="1" applyAlignment="1" applyProtection="1">
      <alignment horizontal="right" vertical="center"/>
      <protection/>
    </xf>
    <xf numFmtId="0" fontId="6" fillId="20" borderId="45" xfId="0" applyFont="1" applyFill="1" applyBorder="1" applyAlignment="1" applyProtection="1">
      <alignment horizontal="center" vertical="center" wrapText="1"/>
      <protection locked="0"/>
    </xf>
    <xf numFmtId="0" fontId="16" fillId="20" borderId="73" xfId="0" applyFont="1" applyFill="1" applyBorder="1" applyAlignment="1" applyProtection="1">
      <alignment horizontal="left" vertical="center" wrapText="1"/>
      <protection locked="0"/>
    </xf>
    <xf numFmtId="10" fontId="43" fillId="20" borderId="66" xfId="0" applyNumberFormat="1" applyFont="1" applyFill="1" applyBorder="1" applyAlignment="1" applyProtection="1">
      <alignment horizontal="center" vertical="center"/>
      <protection locked="0"/>
    </xf>
    <xf numFmtId="10" fontId="43" fillId="20" borderId="45" xfId="0" applyNumberFormat="1" applyFont="1" applyFill="1" applyBorder="1" applyAlignment="1" applyProtection="1">
      <alignment horizontal="center" vertical="center"/>
      <protection locked="0"/>
    </xf>
    <xf numFmtId="0" fontId="16" fillId="20" borderId="94" xfId="0" applyFont="1" applyFill="1" applyBorder="1" applyAlignment="1" applyProtection="1">
      <alignment horizontal="center" vertical="center" wrapText="1"/>
      <protection/>
    </xf>
    <xf numFmtId="0" fontId="16" fillId="20" borderId="71" xfId="0" applyFont="1" applyFill="1" applyBorder="1" applyAlignment="1" applyProtection="1">
      <alignment horizontal="left" vertical="center" wrapText="1"/>
      <protection/>
    </xf>
    <xf numFmtId="4" fontId="16" fillId="20" borderId="93" xfId="0" applyNumberFormat="1" applyFont="1" applyFill="1" applyBorder="1" applyAlignment="1" applyProtection="1">
      <alignment horizontal="right" vertical="center"/>
      <protection/>
    </xf>
    <xf numFmtId="10" fontId="16" fillId="20" borderId="76" xfId="0" applyNumberFormat="1" applyFont="1" applyFill="1" applyBorder="1" applyAlignment="1" applyProtection="1">
      <alignment horizontal="center" vertical="center"/>
      <protection locked="0"/>
    </xf>
    <xf numFmtId="10" fontId="16" fillId="20" borderId="95" xfId="0" applyNumberFormat="1" applyFont="1" applyFill="1" applyBorder="1" applyAlignment="1" applyProtection="1">
      <alignment horizontal="center" vertical="center"/>
      <protection locked="0"/>
    </xf>
    <xf numFmtId="0" fontId="16" fillId="20" borderId="92" xfId="0" applyFont="1" applyFill="1" applyBorder="1" applyAlignment="1" applyProtection="1">
      <alignment horizontal="center" vertical="center" wrapText="1"/>
      <protection/>
    </xf>
    <xf numFmtId="4" fontId="16" fillId="20" borderId="19" xfId="0" applyNumberFormat="1" applyFont="1" applyFill="1" applyBorder="1" applyAlignment="1" applyProtection="1">
      <alignment horizontal="right" vertical="center"/>
      <protection/>
    </xf>
    <xf numFmtId="0" fontId="16" fillId="20" borderId="72" xfId="0" applyFont="1" applyFill="1" applyBorder="1" applyAlignment="1" applyProtection="1">
      <alignment vertical="center" wrapText="1"/>
      <protection/>
    </xf>
    <xf numFmtId="0" fontId="16" fillId="20" borderId="90" xfId="0" applyFont="1" applyFill="1" applyBorder="1" applyAlignment="1" applyProtection="1">
      <alignment horizontal="center" vertical="center" wrapText="1"/>
      <protection locked="0"/>
    </xf>
    <xf numFmtId="0" fontId="16" fillId="20" borderId="45" xfId="0" applyFont="1" applyFill="1" applyBorder="1" applyAlignment="1" applyProtection="1">
      <alignment vertical="center" wrapText="1"/>
      <protection locked="0"/>
    </xf>
    <xf numFmtId="0" fontId="16" fillId="20" borderId="45" xfId="0" applyFont="1" applyFill="1" applyBorder="1" applyAlignment="1" applyProtection="1">
      <alignment horizontal="left" vertical="center" wrapText="1"/>
      <protection locked="0"/>
    </xf>
    <xf numFmtId="4" fontId="16" fillId="20" borderId="45" xfId="0" applyNumberFormat="1" applyFont="1" applyFill="1" applyBorder="1" applyAlignment="1" applyProtection="1">
      <alignment horizontal="right" vertical="center" wrapText="1"/>
      <protection locked="0"/>
    </xf>
    <xf numFmtId="4" fontId="16" fillId="20" borderId="45" xfId="0" applyNumberFormat="1" applyFont="1" applyFill="1" applyBorder="1" applyAlignment="1" applyProtection="1">
      <alignment horizontal="right" vertical="center"/>
      <protection locked="0"/>
    </xf>
    <xf numFmtId="4" fontId="16" fillId="20" borderId="96" xfId="0" applyNumberFormat="1" applyFont="1" applyFill="1" applyBorder="1" applyAlignment="1" applyProtection="1">
      <alignment horizontal="right" vertical="center"/>
      <protection locked="0"/>
    </xf>
    <xf numFmtId="0" fontId="16" fillId="20" borderId="44" xfId="0" applyFont="1" applyFill="1" applyBorder="1" applyAlignment="1" applyProtection="1">
      <alignment vertical="center"/>
      <protection/>
    </xf>
    <xf numFmtId="0" fontId="2" fillId="20" borderId="92" xfId="0" applyFont="1" applyFill="1" applyBorder="1" applyAlignment="1" applyProtection="1">
      <alignment horizontal="center" vertical="center" wrapText="1"/>
      <protection/>
    </xf>
    <xf numFmtId="0" fontId="2" fillId="20" borderId="45" xfId="0" applyFont="1" applyFill="1" applyBorder="1" applyAlignment="1" applyProtection="1">
      <alignment horizontal="center" vertical="center" wrapText="1"/>
      <protection/>
    </xf>
    <xf numFmtId="0" fontId="2" fillId="20" borderId="45" xfId="0" applyFont="1" applyFill="1" applyBorder="1" applyAlignment="1" applyProtection="1">
      <alignment horizontal="left" vertical="center" wrapText="1"/>
      <protection/>
    </xf>
    <xf numFmtId="4" fontId="16" fillId="20" borderId="0" xfId="0" applyNumberFormat="1" applyFont="1" applyFill="1" applyBorder="1" applyAlignment="1" applyProtection="1">
      <alignment horizontal="right" vertical="center" wrapText="1"/>
      <protection/>
    </xf>
    <xf numFmtId="4" fontId="16" fillId="20" borderId="45" xfId="0" applyNumberFormat="1" applyFont="1" applyFill="1" applyBorder="1" applyAlignment="1" applyProtection="1">
      <alignment horizontal="right" vertical="center"/>
      <protection/>
    </xf>
    <xf numFmtId="10" fontId="16" fillId="20" borderId="47" xfId="0" applyNumberFormat="1" applyFont="1" applyFill="1" applyBorder="1" applyAlignment="1" applyProtection="1">
      <alignment horizontal="center" vertical="center"/>
      <protection locked="0"/>
    </xf>
    <xf numFmtId="10" fontId="43" fillId="20" borderId="49" xfId="0" applyNumberFormat="1" applyFont="1" applyFill="1" applyBorder="1" applyAlignment="1" applyProtection="1">
      <alignment horizontal="center" vertical="center"/>
      <protection locked="0"/>
    </xf>
    <xf numFmtId="0" fontId="6" fillId="20" borderId="92" xfId="0" applyFont="1" applyFill="1" applyBorder="1" applyAlignment="1" applyProtection="1">
      <alignment horizontal="center" vertical="center" wrapText="1"/>
      <protection/>
    </xf>
    <xf numFmtId="0" fontId="2" fillId="20" borderId="45" xfId="0" applyFont="1" applyFill="1" applyBorder="1" applyAlignment="1" applyProtection="1">
      <alignment horizontal="right" vertical="center" wrapText="1"/>
      <protection/>
    </xf>
    <xf numFmtId="0" fontId="2" fillId="20" borderId="47" xfId="0" applyFont="1" applyFill="1" applyBorder="1" applyAlignment="1" applyProtection="1">
      <alignment horizontal="left" vertical="center" wrapText="1"/>
      <protection/>
    </xf>
    <xf numFmtId="4" fontId="16" fillId="20" borderId="47" xfId="0" applyNumberFormat="1" applyFont="1" applyFill="1" applyBorder="1" applyAlignment="1" applyProtection="1">
      <alignment horizontal="right" vertical="center" wrapText="1"/>
      <protection/>
    </xf>
    <xf numFmtId="4" fontId="16" fillId="20" borderId="72" xfId="0" applyNumberFormat="1" applyFont="1" applyFill="1" applyBorder="1" applyAlignment="1" applyProtection="1">
      <alignment horizontal="right" vertical="center"/>
      <protection/>
    </xf>
    <xf numFmtId="10" fontId="16" fillId="20" borderId="19" xfId="0" applyNumberFormat="1" applyFont="1" applyFill="1" applyBorder="1" applyAlignment="1" applyProtection="1">
      <alignment horizontal="center" vertical="center"/>
      <protection locked="0"/>
    </xf>
    <xf numFmtId="4" fontId="7" fillId="22" borderId="11" xfId="60" applyNumberFormat="1" applyFont="1" applyFill="1" applyBorder="1" applyAlignment="1" applyProtection="1">
      <alignment vertical="center"/>
      <protection/>
    </xf>
    <xf numFmtId="4" fontId="7" fillId="26" borderId="11" xfId="60" applyNumberFormat="1" applyFont="1" applyFill="1" applyBorder="1" applyAlignment="1" applyProtection="1">
      <alignment vertical="center"/>
      <protection/>
    </xf>
    <xf numFmtId="0" fontId="16" fillId="20" borderId="72" xfId="0" applyFont="1" applyFill="1" applyBorder="1" applyAlignment="1" applyProtection="1">
      <alignment horizontal="left" vertical="center" wrapText="1"/>
      <protection/>
    </xf>
    <xf numFmtId="4" fontId="16" fillId="20" borderId="96" xfId="0" applyNumberFormat="1" applyFont="1" applyFill="1" applyBorder="1" applyAlignment="1" applyProtection="1">
      <alignment horizontal="right" vertical="center"/>
      <protection/>
    </xf>
    <xf numFmtId="10" fontId="16" fillId="20" borderId="75" xfId="0" applyNumberFormat="1" applyFont="1" applyFill="1" applyBorder="1" applyAlignment="1" applyProtection="1">
      <alignment horizontal="center" vertical="center"/>
      <protection locked="0"/>
    </xf>
    <xf numFmtId="10" fontId="16" fillId="20" borderId="97" xfId="0" applyNumberFormat="1" applyFont="1" applyFill="1" applyBorder="1" applyAlignment="1" applyProtection="1">
      <alignment horizontal="center" vertical="center"/>
      <protection locked="0"/>
    </xf>
    <xf numFmtId="0" fontId="0" fillId="24" borderId="10" xfId="0" applyFont="1" applyFill="1" applyBorder="1" applyAlignment="1" applyProtection="1">
      <alignment vertical="center" wrapText="1"/>
      <protection/>
    </xf>
    <xf numFmtId="0" fontId="0" fillId="24" borderId="10" xfId="0" applyFont="1" applyFill="1" applyBorder="1" applyAlignment="1" applyProtection="1">
      <alignment horizontal="left" vertical="center" wrapText="1"/>
      <protection/>
    </xf>
    <xf numFmtId="4" fontId="43" fillId="24" borderId="10" xfId="0" applyNumberFormat="1" applyFont="1" applyFill="1" applyBorder="1" applyAlignment="1" applyProtection="1">
      <alignment horizontal="right" vertical="center" wrapText="1"/>
      <protection/>
    </xf>
    <xf numFmtId="4" fontId="43" fillId="24" borderId="10" xfId="0" applyNumberFormat="1" applyFont="1" applyFill="1" applyBorder="1" applyAlignment="1" applyProtection="1">
      <alignment horizontal="right" vertical="center"/>
      <protection/>
    </xf>
    <xf numFmtId="0" fontId="16" fillId="20" borderId="42" xfId="0" applyFont="1" applyFill="1" applyBorder="1" applyAlignment="1" applyProtection="1">
      <alignment horizontal="center" vertical="center" wrapText="1"/>
      <protection/>
    </xf>
    <xf numFmtId="0" fontId="43" fillId="24" borderId="98" xfId="0" applyFont="1" applyFill="1" applyBorder="1" applyAlignment="1" applyProtection="1">
      <alignment horizontal="center" vertical="center" wrapText="1"/>
      <protection/>
    </xf>
    <xf numFmtId="4" fontId="7" fillId="27" borderId="10" xfId="0" applyNumberFormat="1" applyFont="1" applyFill="1" applyBorder="1" applyAlignment="1" applyProtection="1">
      <alignment vertical="center"/>
      <protection/>
    </xf>
    <xf numFmtId="4" fontId="7" fillId="3" borderId="10" xfId="0" applyNumberFormat="1" applyFont="1" applyFill="1" applyBorder="1" applyAlignment="1" applyProtection="1">
      <alignment vertical="center"/>
      <protection/>
    </xf>
    <xf numFmtId="4" fontId="7" fillId="10" borderId="10" xfId="60" applyNumberFormat="1" applyFont="1" applyFill="1" applyBorder="1" applyAlignment="1" applyProtection="1">
      <alignment vertical="center"/>
      <protection/>
    </xf>
    <xf numFmtId="4" fontId="7" fillId="28" borderId="10" xfId="60" applyNumberFormat="1" applyFont="1" applyFill="1" applyBorder="1" applyAlignment="1" applyProtection="1">
      <alignment vertical="center"/>
      <protection/>
    </xf>
    <xf numFmtId="4" fontId="7" fillId="3" borderId="18" xfId="60" applyNumberFormat="1" applyFont="1" applyFill="1" applyBorder="1" applyAlignment="1" applyProtection="1">
      <alignment vertical="center"/>
      <protection/>
    </xf>
    <xf numFmtId="4" fontId="7" fillId="3" borderId="10" xfId="0" applyNumberFormat="1" applyFont="1" applyFill="1" applyBorder="1" applyAlignment="1" applyProtection="1">
      <alignment horizontal="right"/>
      <protection/>
    </xf>
    <xf numFmtId="4" fontId="7" fillId="29" borderId="10" xfId="60" applyNumberFormat="1" applyFont="1" applyFill="1" applyBorder="1" applyAlignment="1" applyProtection="1">
      <alignment vertical="center"/>
      <protection/>
    </xf>
    <xf numFmtId="4" fontId="48" fillId="22" borderId="45" xfId="0" applyNumberFormat="1" applyFont="1" applyFill="1" applyBorder="1" applyAlignment="1" applyProtection="1">
      <alignment vertical="center"/>
      <protection locked="0"/>
    </xf>
    <xf numFmtId="3" fontId="27" fillId="5" borderId="45" xfId="0" applyNumberFormat="1" applyFont="1" applyFill="1" applyBorder="1" applyAlignment="1" applyProtection="1">
      <alignment vertical="center"/>
      <protection locked="0"/>
    </xf>
    <xf numFmtId="3" fontId="27" fillId="5" borderId="72" xfId="0" applyNumberFormat="1" applyFont="1" applyFill="1" applyBorder="1" applyAlignment="1" applyProtection="1">
      <alignment vertical="center"/>
      <protection locked="0"/>
    </xf>
    <xf numFmtId="3" fontId="27" fillId="5" borderId="44" xfId="0" applyNumberFormat="1" applyFont="1" applyFill="1" applyBorder="1" applyAlignment="1" applyProtection="1">
      <alignment vertical="center"/>
      <protection locked="0"/>
    </xf>
    <xf numFmtId="3" fontId="27" fillId="5" borderId="71" xfId="0" applyNumberFormat="1" applyFont="1" applyFill="1" applyBorder="1" applyAlignment="1" applyProtection="1">
      <alignment vertical="center"/>
      <protection locked="0"/>
    </xf>
    <xf numFmtId="0" fontId="3" fillId="24" borderId="99" xfId="0" applyFont="1" applyFill="1" applyBorder="1" applyAlignment="1" applyProtection="1">
      <alignment horizontal="center" vertical="center" wrapText="1"/>
      <protection/>
    </xf>
    <xf numFmtId="0" fontId="3" fillId="24" borderId="100" xfId="0" applyFont="1" applyFill="1" applyBorder="1" applyAlignment="1" applyProtection="1">
      <alignment horizontal="center" vertical="center" wrapText="1"/>
      <protection/>
    </xf>
    <xf numFmtId="0" fontId="3" fillId="24" borderId="101" xfId="0" applyFont="1" applyFill="1" applyBorder="1" applyAlignment="1" applyProtection="1">
      <alignment horizontal="center" vertical="center" wrapText="1"/>
      <protection/>
    </xf>
    <xf numFmtId="0" fontId="6" fillId="24" borderId="10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/>
      <protection/>
    </xf>
    <xf numFmtId="0" fontId="0" fillId="0" borderId="102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4" fillId="0" borderId="30" xfId="0" applyFont="1" applyBorder="1" applyAlignment="1">
      <alignment horizontal="left" vertical="center"/>
    </xf>
    <xf numFmtId="0" fontId="14" fillId="0" borderId="10" xfId="0" applyFont="1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14" fillId="20" borderId="1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0" fillId="0" borderId="30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03" xfId="0" applyBorder="1" applyAlignment="1">
      <alignment horizontal="left" vertical="center" wrapText="1"/>
    </xf>
    <xf numFmtId="0" fontId="0" fillId="0" borderId="78" xfId="0" applyBorder="1" applyAlignment="1">
      <alignment horizontal="left" vertical="center" wrapText="1"/>
    </xf>
    <xf numFmtId="0" fontId="0" fillId="0" borderId="64" xfId="0" applyBorder="1" applyAlignment="1">
      <alignment horizontal="left" vertical="center" wrapText="1"/>
    </xf>
    <xf numFmtId="0" fontId="14" fillId="0" borderId="37" xfId="0" applyFont="1" applyBorder="1" applyAlignment="1">
      <alignment horizontal="left"/>
    </xf>
    <xf numFmtId="0" fontId="14" fillId="0" borderId="12" xfId="0" applyFont="1" applyBorder="1" applyAlignment="1">
      <alignment horizontal="left"/>
    </xf>
    <xf numFmtId="0" fontId="0" fillId="0" borderId="30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4" fillId="0" borderId="104" xfId="0" applyFont="1" applyBorder="1" applyAlignment="1">
      <alignment horizontal="left" vertical="center"/>
    </xf>
    <xf numFmtId="0" fontId="14" fillId="0" borderId="29" xfId="0" applyFont="1" applyBorder="1" applyAlignment="1">
      <alignment horizontal="left" vertical="center"/>
    </xf>
    <xf numFmtId="0" fontId="0" fillId="20" borderId="10" xfId="0" applyFill="1" applyBorder="1" applyAlignment="1">
      <alignment horizont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rmal_Sheet1" xfId="60"/>
    <cellStyle name="Normal_Расходи по корисницима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8"/>
  <sheetViews>
    <sheetView zoomScalePageLayoutView="0" workbookViewId="0" topLeftCell="A26">
      <selection activeCell="A33" sqref="A33:H33"/>
    </sheetView>
  </sheetViews>
  <sheetFormatPr defaultColWidth="9.140625" defaultRowHeight="12.75"/>
  <cols>
    <col min="1" max="1" width="4.421875" style="0" customWidth="1"/>
    <col min="2" max="2" width="13.8515625" style="0" customWidth="1"/>
    <col min="3" max="3" width="32.57421875" style="0" customWidth="1"/>
    <col min="4" max="4" width="26.7109375" style="0" customWidth="1"/>
    <col min="5" max="5" width="19.140625" style="0" hidden="1" customWidth="1"/>
    <col min="6" max="6" width="25.140625" style="0" customWidth="1"/>
    <col min="7" max="7" width="14.00390625" style="0" hidden="1" customWidth="1"/>
    <col min="8" max="8" width="18.7109375" style="0" customWidth="1"/>
  </cols>
  <sheetData>
    <row r="1" spans="1:8" ht="29.25" thickBot="1" thickTop="1">
      <c r="A1" s="848" t="s">
        <v>211</v>
      </c>
      <c r="B1" s="849"/>
      <c r="C1" s="849"/>
      <c r="D1" s="849"/>
      <c r="E1" s="849"/>
      <c r="F1" s="849"/>
      <c r="G1" s="849"/>
      <c r="H1" s="850"/>
    </row>
    <row r="2" spans="1:8" ht="202.5" customHeight="1" thickBot="1">
      <c r="A2" s="354" t="s">
        <v>787</v>
      </c>
      <c r="B2" s="355" t="s">
        <v>263</v>
      </c>
      <c r="C2" s="356" t="s">
        <v>264</v>
      </c>
      <c r="D2" s="357" t="s">
        <v>924</v>
      </c>
      <c r="E2" s="358" t="s">
        <v>752</v>
      </c>
      <c r="F2" s="359" t="s">
        <v>290</v>
      </c>
      <c r="G2" s="360" t="s">
        <v>336</v>
      </c>
      <c r="H2" s="361" t="s">
        <v>131</v>
      </c>
    </row>
    <row r="3" spans="1:8" ht="13.5" thickBot="1">
      <c r="A3" s="362">
        <v>1</v>
      </c>
      <c r="B3" s="363">
        <v>2</v>
      </c>
      <c r="C3" s="363">
        <v>3</v>
      </c>
      <c r="D3" s="363">
        <v>4</v>
      </c>
      <c r="E3" s="364">
        <v>5</v>
      </c>
      <c r="F3" s="364">
        <v>6</v>
      </c>
      <c r="G3" s="365" t="s">
        <v>315</v>
      </c>
      <c r="H3" s="366" t="s">
        <v>316</v>
      </c>
    </row>
    <row r="4" spans="1:8" ht="36" customHeight="1" thickBot="1">
      <c r="A4" s="367"/>
      <c r="B4" s="812" t="s">
        <v>265</v>
      </c>
      <c r="C4" s="820" t="s">
        <v>266</v>
      </c>
      <c r="D4" s="821">
        <f>D5+D6</f>
        <v>1540656634</v>
      </c>
      <c r="E4" s="766" t="e">
        <f>(D4/12)*#REF!</f>
        <v>#REF!</v>
      </c>
      <c r="F4" s="822">
        <f>F5+F6</f>
        <v>557962636.71</v>
      </c>
      <c r="G4" s="823" t="e">
        <f>F4/E4</f>
        <v>#REF!</v>
      </c>
      <c r="H4" s="817"/>
    </row>
    <row r="5" spans="1:8" ht="36" customHeight="1" thickBot="1">
      <c r="A5" s="369"/>
      <c r="B5" s="370">
        <v>321121</v>
      </c>
      <c r="C5" s="371" t="s">
        <v>267</v>
      </c>
      <c r="D5" s="692"/>
      <c r="E5" s="693" t="e">
        <f>(D5/12)*#REF!</f>
        <v>#REF!</v>
      </c>
      <c r="F5" s="429">
        <v>33099106.22</v>
      </c>
      <c r="G5" s="372"/>
      <c r="H5" s="368"/>
    </row>
    <row r="6" spans="1:8" ht="18" customHeight="1" thickBot="1">
      <c r="A6" s="811"/>
      <c r="B6" s="812" t="s">
        <v>339</v>
      </c>
      <c r="C6" s="813" t="s">
        <v>268</v>
      </c>
      <c r="D6" s="814">
        <f>D7+D52+D57</f>
        <v>1540656634</v>
      </c>
      <c r="E6" s="815" t="e">
        <f>(D6/12)*#REF!</f>
        <v>#REF!</v>
      </c>
      <c r="F6" s="766">
        <f>F7+F57+F52</f>
        <v>524863530.49</v>
      </c>
      <c r="G6" s="816" t="e">
        <f aca="true" t="shared" si="0" ref="G6:G12">F6/E6</f>
        <v>#REF!</v>
      </c>
      <c r="H6" s="817">
        <f aca="true" t="shared" si="1" ref="H6:H12">F6/D6</f>
        <v>0.3406752152991411</v>
      </c>
    </row>
    <row r="7" spans="1:8" ht="18" customHeight="1" thickBot="1">
      <c r="A7" s="818" t="s">
        <v>227</v>
      </c>
      <c r="B7" s="819">
        <v>7</v>
      </c>
      <c r="C7" s="813" t="s">
        <v>269</v>
      </c>
      <c r="D7" s="765">
        <f>D8+D14+D16+D20+D26+D28+D32+D40+D45+D48+D50</f>
        <v>1369104000</v>
      </c>
      <c r="E7" s="815" t="e">
        <f>(D7/12)*#REF!</f>
        <v>#REF!</v>
      </c>
      <c r="F7" s="766">
        <f>F8+F16+F20+F26+F28+F32+F40+F45+F50+F48+F14</f>
        <v>524863530.49</v>
      </c>
      <c r="G7" s="816" t="e">
        <f t="shared" si="0"/>
        <v>#REF!</v>
      </c>
      <c r="H7" s="817">
        <f t="shared" si="1"/>
        <v>0.383362790912889</v>
      </c>
    </row>
    <row r="8" spans="1:8" ht="36.75" customHeight="1" thickBot="1">
      <c r="A8" s="770" t="s">
        <v>270</v>
      </c>
      <c r="B8" s="810">
        <v>711</v>
      </c>
      <c r="C8" s="764" t="s">
        <v>786</v>
      </c>
      <c r="D8" s="765">
        <f>D9+D10+D11+D12+D13</f>
        <v>573150000</v>
      </c>
      <c r="E8" s="766" t="e">
        <f>(D8/12)*#REF!</f>
        <v>#REF!</v>
      </c>
      <c r="F8" s="766">
        <f>SUM(F9:F13)</f>
        <v>221654560.06</v>
      </c>
      <c r="G8" s="767" t="e">
        <f t="shared" si="0"/>
        <v>#REF!</v>
      </c>
      <c r="H8" s="773">
        <f t="shared" si="1"/>
        <v>0.38673045461048594</v>
      </c>
    </row>
    <row r="9" spans="1:8" ht="18" customHeight="1">
      <c r="A9" s="373"/>
      <c r="B9" s="374">
        <v>711110</v>
      </c>
      <c r="C9" s="375" t="s">
        <v>775</v>
      </c>
      <c r="D9" s="694">
        <v>487000000</v>
      </c>
      <c r="E9" s="693" t="e">
        <f>(D9/12)*#REF!</f>
        <v>#REF!</v>
      </c>
      <c r="F9" s="396">
        <v>191691084.6</v>
      </c>
      <c r="G9" s="376" t="e">
        <f t="shared" si="0"/>
        <v>#REF!</v>
      </c>
      <c r="H9" s="377">
        <f t="shared" si="1"/>
        <v>0.39361619014373717</v>
      </c>
    </row>
    <row r="10" spans="1:11" ht="36" customHeight="1">
      <c r="A10" s="378"/>
      <c r="B10" s="379">
        <v>711120</v>
      </c>
      <c r="C10" s="557" t="s">
        <v>776</v>
      </c>
      <c r="D10" s="695">
        <v>46000000</v>
      </c>
      <c r="E10" s="696" t="e">
        <f>(D10/12)*#REF!</f>
        <v>#REF!</v>
      </c>
      <c r="F10" s="751">
        <v>18026024.36</v>
      </c>
      <c r="G10" s="380" t="e">
        <f t="shared" si="0"/>
        <v>#REF!</v>
      </c>
      <c r="H10" s="381">
        <f t="shared" si="1"/>
        <v>0.3918700947826087</v>
      </c>
      <c r="K10" s="426"/>
    </row>
    <row r="11" spans="1:8" ht="18" customHeight="1">
      <c r="A11" s="382"/>
      <c r="B11" s="383">
        <v>711140</v>
      </c>
      <c r="C11" s="558" t="s">
        <v>777</v>
      </c>
      <c r="D11" s="697">
        <v>15000000</v>
      </c>
      <c r="E11" s="698" t="e">
        <f>(D11/12)*#REF!</f>
        <v>#REF!</v>
      </c>
      <c r="F11" s="401">
        <v>281700.05</v>
      </c>
      <c r="G11" s="380" t="e">
        <f t="shared" si="0"/>
        <v>#REF!</v>
      </c>
      <c r="H11" s="381">
        <f t="shared" si="1"/>
        <v>0.018780003333333333</v>
      </c>
    </row>
    <row r="12" spans="1:8" ht="18" customHeight="1">
      <c r="A12" s="382"/>
      <c r="B12" s="383">
        <v>711180</v>
      </c>
      <c r="C12" s="558" t="s">
        <v>271</v>
      </c>
      <c r="D12" s="697">
        <v>150000</v>
      </c>
      <c r="E12" s="698" t="e">
        <f>(D12/12)*#REF!</f>
        <v>#REF!</v>
      </c>
      <c r="F12" s="401">
        <v>16579.5</v>
      </c>
      <c r="G12" s="380" t="e">
        <f t="shared" si="0"/>
        <v>#REF!</v>
      </c>
      <c r="H12" s="381">
        <f t="shared" si="1"/>
        <v>0.11053</v>
      </c>
    </row>
    <row r="13" spans="1:8" ht="18" customHeight="1" thickBot="1">
      <c r="A13" s="384"/>
      <c r="B13" s="385">
        <v>711190</v>
      </c>
      <c r="C13" s="559" t="s">
        <v>233</v>
      </c>
      <c r="D13" s="699">
        <v>25000000</v>
      </c>
      <c r="E13" s="698" t="e">
        <f>(D13/12)*#REF!</f>
        <v>#REF!</v>
      </c>
      <c r="F13" s="404">
        <v>11639171.55</v>
      </c>
      <c r="G13" s="386" t="e">
        <f>F13/E13</f>
        <v>#REF!</v>
      </c>
      <c r="H13" s="387">
        <f>F13/D13</f>
        <v>0.465566862</v>
      </c>
    </row>
    <row r="14" spans="1:8" ht="18" customHeight="1" thickBot="1">
      <c r="A14" s="804" t="s">
        <v>274</v>
      </c>
      <c r="B14" s="805">
        <v>712</v>
      </c>
      <c r="C14" s="806" t="s">
        <v>272</v>
      </c>
      <c r="D14" s="807">
        <f>D15</f>
        <v>0</v>
      </c>
      <c r="E14" s="808" t="e">
        <f>(D14/12)*#REF!</f>
        <v>#REF!</v>
      </c>
      <c r="F14" s="809">
        <f>F15</f>
        <v>-2658.16</v>
      </c>
      <c r="G14" s="767">
        <f>G15</f>
        <v>0</v>
      </c>
      <c r="H14" s="773">
        <f>H15</f>
        <v>0</v>
      </c>
    </row>
    <row r="15" spans="1:8" ht="36" customHeight="1" thickBot="1">
      <c r="A15" s="388"/>
      <c r="B15" s="389">
        <v>712112</v>
      </c>
      <c r="C15" s="560" t="s">
        <v>273</v>
      </c>
      <c r="D15" s="700">
        <v>0</v>
      </c>
      <c r="E15" s="404" t="e">
        <f>(D15/12)*#REF!</f>
        <v>#REF!</v>
      </c>
      <c r="F15" s="401">
        <v>-2658.16</v>
      </c>
      <c r="G15" s="392"/>
      <c r="H15" s="393"/>
    </row>
    <row r="16" spans="1:8" ht="18" customHeight="1" thickBot="1">
      <c r="A16" s="770" t="s">
        <v>275</v>
      </c>
      <c r="B16" s="803">
        <v>713</v>
      </c>
      <c r="C16" s="797" t="s">
        <v>778</v>
      </c>
      <c r="D16" s="783">
        <f>D17+D18+D19</f>
        <v>68000000</v>
      </c>
      <c r="E16" s="784" t="e">
        <f>(D16/12)*#REF!</f>
        <v>#REF!</v>
      </c>
      <c r="F16" s="784">
        <f>SUM(F17:F19)</f>
        <v>32822226.97</v>
      </c>
      <c r="G16" s="767" t="e">
        <f aca="true" t="shared" si="2" ref="G16:G23">F16/E16</f>
        <v>#REF!</v>
      </c>
      <c r="H16" s="773">
        <f aca="true" t="shared" si="3" ref="H16:H23">F16/D16</f>
        <v>0.4826798083823529</v>
      </c>
    </row>
    <row r="17" spans="1:8" ht="18" customHeight="1">
      <c r="A17" s="394"/>
      <c r="B17" s="395">
        <v>713120</v>
      </c>
      <c r="C17" s="561" t="s">
        <v>778</v>
      </c>
      <c r="D17" s="701">
        <v>52000000</v>
      </c>
      <c r="E17" s="698" t="e">
        <f>(D17/12)*#REF!</f>
        <v>#REF!</v>
      </c>
      <c r="F17" s="396">
        <v>24598466</v>
      </c>
      <c r="G17" s="397" t="e">
        <f t="shared" si="2"/>
        <v>#REF!</v>
      </c>
      <c r="H17" s="398">
        <f t="shared" si="3"/>
        <v>0.4730474230769231</v>
      </c>
    </row>
    <row r="18" spans="1:8" ht="18" customHeight="1">
      <c r="A18" s="399"/>
      <c r="B18" s="400">
        <v>713310</v>
      </c>
      <c r="C18" s="562" t="s">
        <v>779</v>
      </c>
      <c r="D18" s="702">
        <v>1000000</v>
      </c>
      <c r="E18" s="698" t="e">
        <f>(D18/12)*#REF!</f>
        <v>#REF!</v>
      </c>
      <c r="F18" s="401">
        <v>367639</v>
      </c>
      <c r="G18" s="402">
        <v>0</v>
      </c>
      <c r="H18" s="403">
        <f t="shared" si="3"/>
        <v>0.367639</v>
      </c>
    </row>
    <row r="19" spans="1:8" ht="36" customHeight="1" thickBot="1">
      <c r="A19" s="399"/>
      <c r="B19" s="400">
        <v>713400</v>
      </c>
      <c r="C19" s="562" t="s">
        <v>780</v>
      </c>
      <c r="D19" s="702">
        <v>15000000</v>
      </c>
      <c r="E19" s="698" t="e">
        <f>(D19/12)*#REF!</f>
        <v>#REF!</v>
      </c>
      <c r="F19" s="404">
        <v>7856121.97</v>
      </c>
      <c r="G19" s="405">
        <v>0</v>
      </c>
      <c r="H19" s="406">
        <f t="shared" si="3"/>
        <v>0.5237414646666666</v>
      </c>
    </row>
    <row r="20" spans="1:8" ht="18" customHeight="1" thickBot="1">
      <c r="A20" s="796" t="s">
        <v>277</v>
      </c>
      <c r="B20" s="763">
        <v>714</v>
      </c>
      <c r="C20" s="764" t="s">
        <v>781</v>
      </c>
      <c r="D20" s="765">
        <f>D21+D22+D23+D24+D25</f>
        <v>46500000</v>
      </c>
      <c r="E20" s="802" t="e">
        <f>(D20/12)*#REF!</f>
        <v>#REF!</v>
      </c>
      <c r="F20" s="766">
        <f>SUM(F21:F25)</f>
        <v>12819718.969999999</v>
      </c>
      <c r="G20" s="767" t="e">
        <f t="shared" si="2"/>
        <v>#REF!</v>
      </c>
      <c r="H20" s="773">
        <f t="shared" si="3"/>
        <v>0.2756928810752688</v>
      </c>
    </row>
    <row r="21" spans="1:8" ht="36" customHeight="1">
      <c r="A21" s="399"/>
      <c r="B21" s="400">
        <v>714513</v>
      </c>
      <c r="C21" s="562" t="s">
        <v>192</v>
      </c>
      <c r="D21" s="702">
        <v>23500000</v>
      </c>
      <c r="E21" s="698" t="e">
        <f>(D21/12)*#REF!</f>
        <v>#REF!</v>
      </c>
      <c r="F21" s="401">
        <v>7979651</v>
      </c>
      <c r="G21" s="402" t="e">
        <f t="shared" si="2"/>
        <v>#REF!</v>
      </c>
      <c r="H21" s="403">
        <f t="shared" si="3"/>
        <v>0.33955961702127657</v>
      </c>
    </row>
    <row r="22" spans="1:8" ht="36" customHeight="1">
      <c r="A22" s="399"/>
      <c r="B22" s="400">
        <v>714514</v>
      </c>
      <c r="C22" s="562" t="s">
        <v>276</v>
      </c>
      <c r="D22" s="702">
        <v>500000</v>
      </c>
      <c r="E22" s="698" t="e">
        <f>(D22/12)*#REF!</f>
        <v>#REF!</v>
      </c>
      <c r="F22" s="401">
        <v>0</v>
      </c>
      <c r="G22" s="402" t="e">
        <f>F22/E22</f>
        <v>#REF!</v>
      </c>
      <c r="H22" s="403">
        <f t="shared" si="3"/>
        <v>0</v>
      </c>
    </row>
    <row r="23" spans="1:8" ht="36" customHeight="1">
      <c r="A23" s="399"/>
      <c r="B23" s="408">
        <v>714543</v>
      </c>
      <c r="C23" s="563" t="s">
        <v>193</v>
      </c>
      <c r="D23" s="703">
        <v>3500000</v>
      </c>
      <c r="E23" s="698" t="e">
        <f>(D23/12)*#REF!</f>
        <v>#REF!</v>
      </c>
      <c r="F23" s="409">
        <v>128</v>
      </c>
      <c r="G23" s="402" t="e">
        <f t="shared" si="2"/>
        <v>#REF!</v>
      </c>
      <c r="H23" s="403">
        <f t="shared" si="3"/>
        <v>3.657142857142857E-05</v>
      </c>
    </row>
    <row r="24" spans="1:8" ht="18" customHeight="1">
      <c r="A24" s="399"/>
      <c r="B24" s="400">
        <v>714552</v>
      </c>
      <c r="C24" s="562" t="s">
        <v>864</v>
      </c>
      <c r="D24" s="702">
        <v>1000000</v>
      </c>
      <c r="E24" s="698" t="e">
        <f>(D24/12)*#REF!</f>
        <v>#REF!</v>
      </c>
      <c r="F24" s="401">
        <v>172592</v>
      </c>
      <c r="G24" s="402" t="e">
        <f aca="true" t="shared" si="4" ref="G24:G51">F24/E24</f>
        <v>#REF!</v>
      </c>
      <c r="H24" s="403">
        <f aca="true" t="shared" si="5" ref="H24:H51">F24/D24</f>
        <v>0.172592</v>
      </c>
    </row>
    <row r="25" spans="1:8" ht="36" customHeight="1" thickBot="1">
      <c r="A25" s="410"/>
      <c r="B25" s="389">
        <v>714562</v>
      </c>
      <c r="C25" s="564" t="s">
        <v>194</v>
      </c>
      <c r="D25" s="702">
        <v>18000000</v>
      </c>
      <c r="E25" s="704" t="e">
        <f>(D25/12)*#REF!</f>
        <v>#REF!</v>
      </c>
      <c r="F25" s="411">
        <v>4667347.97</v>
      </c>
      <c r="G25" s="405" t="e">
        <f t="shared" si="4"/>
        <v>#REF!</v>
      </c>
      <c r="H25" s="406">
        <f t="shared" si="5"/>
        <v>0.25929710944444445</v>
      </c>
    </row>
    <row r="26" spans="1:8" ht="54" customHeight="1" thickBot="1">
      <c r="A26" s="770" t="s">
        <v>203</v>
      </c>
      <c r="B26" s="763">
        <v>716</v>
      </c>
      <c r="C26" s="764" t="s">
        <v>278</v>
      </c>
      <c r="D26" s="765">
        <f>D27</f>
        <v>31000000</v>
      </c>
      <c r="E26" s="766" t="e">
        <f>(D26/12)*#REF!</f>
        <v>#REF!</v>
      </c>
      <c r="F26" s="766">
        <f>F27</f>
        <v>8611540.2</v>
      </c>
      <c r="G26" s="768" t="e">
        <f t="shared" si="4"/>
        <v>#REF!</v>
      </c>
      <c r="H26" s="779">
        <f t="shared" si="5"/>
        <v>0.2777916193548387</v>
      </c>
    </row>
    <row r="27" spans="1:8" ht="18" customHeight="1" thickBot="1">
      <c r="A27" s="410"/>
      <c r="B27" s="389">
        <v>716110</v>
      </c>
      <c r="C27" s="564" t="s">
        <v>195</v>
      </c>
      <c r="D27" s="705">
        <v>31000000</v>
      </c>
      <c r="E27" s="698" t="e">
        <f>(D27/12)*#REF!</f>
        <v>#REF!</v>
      </c>
      <c r="F27" s="391">
        <v>8611540.2</v>
      </c>
      <c r="G27" s="412" t="e">
        <f t="shared" si="4"/>
        <v>#REF!</v>
      </c>
      <c r="H27" s="413">
        <f t="shared" si="5"/>
        <v>0.2777916193548387</v>
      </c>
    </row>
    <row r="28" spans="1:8" ht="36" customHeight="1" thickBot="1">
      <c r="A28" s="801" t="s">
        <v>279</v>
      </c>
      <c r="B28" s="781">
        <v>733</v>
      </c>
      <c r="C28" s="797" t="s">
        <v>280</v>
      </c>
      <c r="D28" s="783">
        <f>D29+D30+D31</f>
        <v>353544000</v>
      </c>
      <c r="E28" s="784" t="e">
        <f>(D28/12)*#REF!</f>
        <v>#REF!</v>
      </c>
      <c r="F28" s="784">
        <f>F29+F30+F31</f>
        <v>174229467.56</v>
      </c>
      <c r="G28" s="799" t="e">
        <f t="shared" si="4"/>
        <v>#REF!</v>
      </c>
      <c r="H28" s="800">
        <f t="shared" si="5"/>
        <v>0.49280844126897927</v>
      </c>
    </row>
    <row r="29" spans="1:8" ht="36" customHeight="1">
      <c r="A29" s="394"/>
      <c r="B29" s="395">
        <v>733150</v>
      </c>
      <c r="C29" s="561" t="s">
        <v>281</v>
      </c>
      <c r="D29" s="701">
        <v>338544000</v>
      </c>
      <c r="E29" s="698" t="e">
        <f>(D29/12)*#REF!</f>
        <v>#REF!</v>
      </c>
      <c r="F29" s="396">
        <v>169271718</v>
      </c>
      <c r="G29" s="397" t="e">
        <f t="shared" si="4"/>
        <v>#REF!</v>
      </c>
      <c r="H29" s="398">
        <f t="shared" si="5"/>
        <v>0.49999916702112573</v>
      </c>
    </row>
    <row r="30" spans="1:8" ht="36" customHeight="1">
      <c r="A30" s="399"/>
      <c r="B30" s="400">
        <v>733154</v>
      </c>
      <c r="C30" s="562" t="s">
        <v>282</v>
      </c>
      <c r="D30" s="702">
        <v>10000000</v>
      </c>
      <c r="E30" s="698" t="e">
        <f>(D30/12)*#REF!</f>
        <v>#REF!</v>
      </c>
      <c r="F30" s="401">
        <v>4957749.56</v>
      </c>
      <c r="G30" s="416" t="e">
        <f t="shared" si="4"/>
        <v>#REF!</v>
      </c>
      <c r="H30" s="569">
        <f t="shared" si="5"/>
        <v>0.49577495599999993</v>
      </c>
    </row>
    <row r="31" spans="1:8" ht="54" customHeight="1" thickBot="1">
      <c r="A31" s="417"/>
      <c r="B31" s="389">
        <v>733251</v>
      </c>
      <c r="C31" s="564" t="s">
        <v>196</v>
      </c>
      <c r="D31" s="705">
        <v>5000000</v>
      </c>
      <c r="E31" s="698" t="e">
        <f>(D31/12)*#REF!</f>
        <v>#REF!</v>
      </c>
      <c r="F31" s="411">
        <v>0</v>
      </c>
      <c r="G31" s="412" t="e">
        <f t="shared" si="4"/>
        <v>#REF!</v>
      </c>
      <c r="H31" s="413">
        <f t="shared" si="5"/>
        <v>0</v>
      </c>
    </row>
    <row r="32" spans="1:8" ht="18" customHeight="1">
      <c r="A32" s="834" t="s">
        <v>283</v>
      </c>
      <c r="B32" s="803">
        <v>741</v>
      </c>
      <c r="C32" s="826" t="s">
        <v>782</v>
      </c>
      <c r="D32" s="814">
        <f>D33+D34+D35+D36+D37+D38+D39</f>
        <v>232210000</v>
      </c>
      <c r="E32" s="822" t="e">
        <f>(D32/12)*#REF!</f>
        <v>#REF!</v>
      </c>
      <c r="F32" s="827">
        <f>SUM(F33:F39)</f>
        <v>61692022.6</v>
      </c>
      <c r="G32" s="828" t="e">
        <f t="shared" si="4"/>
        <v>#REF!</v>
      </c>
      <c r="H32" s="829">
        <f t="shared" si="5"/>
        <v>0.26567341027518193</v>
      </c>
    </row>
    <row r="33" spans="1:8" ht="54" customHeight="1">
      <c r="A33" s="835"/>
      <c r="B33" s="830">
        <v>741151</v>
      </c>
      <c r="C33" s="831" t="s">
        <v>197</v>
      </c>
      <c r="D33" s="832">
        <v>2000000</v>
      </c>
      <c r="E33" s="698" t="e">
        <f>(D33/12)*#REF!</f>
        <v>#REF!</v>
      </c>
      <c r="F33" s="833">
        <v>0</v>
      </c>
      <c r="G33" s="402" t="e">
        <f t="shared" si="4"/>
        <v>#REF!</v>
      </c>
      <c r="H33" s="403">
        <f t="shared" si="5"/>
        <v>0</v>
      </c>
    </row>
    <row r="34" spans="1:8" ht="36" customHeight="1">
      <c r="A34" s="399"/>
      <c r="B34" s="408">
        <v>741511</v>
      </c>
      <c r="C34" s="563" t="s">
        <v>198</v>
      </c>
      <c r="D34" s="703">
        <v>1500000</v>
      </c>
      <c r="E34" s="704" t="e">
        <f>(D34/12)*#REF!</f>
        <v>#REF!</v>
      </c>
      <c r="F34" s="409">
        <v>258835.2</v>
      </c>
      <c r="G34" s="397" t="e">
        <f t="shared" si="4"/>
        <v>#REF!</v>
      </c>
      <c r="H34" s="398">
        <f t="shared" si="5"/>
        <v>0.1725568</v>
      </c>
    </row>
    <row r="35" spans="1:8" ht="36" customHeight="1">
      <c r="A35" s="399"/>
      <c r="B35" s="400">
        <v>741520</v>
      </c>
      <c r="C35" s="562" t="s">
        <v>343</v>
      </c>
      <c r="D35" s="702">
        <v>1500000</v>
      </c>
      <c r="E35" s="698" t="e">
        <f>(D35/12)*#REF!</f>
        <v>#REF!</v>
      </c>
      <c r="F35" s="401">
        <v>258225.95</v>
      </c>
      <c r="G35" s="402" t="e">
        <f t="shared" si="4"/>
        <v>#REF!</v>
      </c>
      <c r="H35" s="403">
        <f t="shared" si="5"/>
        <v>0.17215063333333333</v>
      </c>
    </row>
    <row r="36" spans="1:8" ht="36" customHeight="1">
      <c r="A36" s="399"/>
      <c r="B36" s="400">
        <v>741531</v>
      </c>
      <c r="C36" s="565" t="s">
        <v>344</v>
      </c>
      <c r="D36" s="702">
        <v>226000000</v>
      </c>
      <c r="E36" s="698" t="e">
        <f>(D36/12)*#REF!</f>
        <v>#REF!</v>
      </c>
      <c r="F36" s="401">
        <v>60839419.45</v>
      </c>
      <c r="G36" s="402" t="e">
        <f t="shared" si="4"/>
        <v>#REF!</v>
      </c>
      <c r="H36" s="403">
        <f t="shared" si="5"/>
        <v>0.26920097101769913</v>
      </c>
    </row>
    <row r="37" spans="1:8" ht="36" customHeight="1">
      <c r="A37" s="399"/>
      <c r="B37" s="400">
        <v>741534</v>
      </c>
      <c r="C37" s="566" t="s">
        <v>199</v>
      </c>
      <c r="D37" s="702">
        <v>1000000</v>
      </c>
      <c r="E37" s="698" t="e">
        <f>(D37/12)*#REF!</f>
        <v>#REF!</v>
      </c>
      <c r="F37" s="401">
        <v>617</v>
      </c>
      <c r="G37" s="402" t="e">
        <f>F37/E37</f>
        <v>#REF!</v>
      </c>
      <c r="H37" s="403">
        <f t="shared" si="5"/>
        <v>0.000617</v>
      </c>
    </row>
    <row r="38" spans="1:8" ht="54" customHeight="1">
      <c r="A38" s="399"/>
      <c r="B38" s="400">
        <v>741538</v>
      </c>
      <c r="C38" s="562" t="s">
        <v>332</v>
      </c>
      <c r="D38" s="702">
        <v>200000</v>
      </c>
      <c r="E38" s="698" t="e">
        <f>(D38/12)*#REF!</f>
        <v>#REF!</v>
      </c>
      <c r="F38" s="401">
        <v>334925</v>
      </c>
      <c r="G38" s="402" t="e">
        <f>F38/E38</f>
        <v>#REF!</v>
      </c>
      <c r="H38" s="403">
        <f t="shared" si="5"/>
        <v>1.674625</v>
      </c>
    </row>
    <row r="39" spans="1:8" ht="36" customHeight="1" thickBot="1">
      <c r="A39" s="410"/>
      <c r="B39" s="389">
        <v>741569</v>
      </c>
      <c r="C39" s="564" t="s">
        <v>345</v>
      </c>
      <c r="D39" s="700">
        <v>10000</v>
      </c>
      <c r="E39" s="698" t="e">
        <f>(D39/12)*#REF!</f>
        <v>#REF!</v>
      </c>
      <c r="F39" s="411">
        <v>0</v>
      </c>
      <c r="G39" s="397" t="e">
        <f t="shared" si="4"/>
        <v>#REF!</v>
      </c>
      <c r="H39" s="398">
        <f t="shared" si="5"/>
        <v>0</v>
      </c>
    </row>
    <row r="40" spans="1:8" ht="36" customHeight="1" thickBot="1">
      <c r="A40" s="796" t="s">
        <v>284</v>
      </c>
      <c r="B40" s="781">
        <v>742</v>
      </c>
      <c r="C40" s="797" t="s">
        <v>783</v>
      </c>
      <c r="D40" s="783">
        <f>D41+D42+D43</f>
        <v>37000000</v>
      </c>
      <c r="E40" s="784" t="e">
        <f>(D40/12)*#REF!</f>
        <v>#REF!</v>
      </c>
      <c r="F40" s="798">
        <f>F41+F42+F43+F44</f>
        <v>5790800.5600000005</v>
      </c>
      <c r="G40" s="767" t="e">
        <f t="shared" si="4"/>
        <v>#REF!</v>
      </c>
      <c r="H40" s="773">
        <f t="shared" si="5"/>
        <v>0.15650812324324326</v>
      </c>
    </row>
    <row r="41" spans="1:8" ht="53.25" customHeight="1">
      <c r="A41" s="399"/>
      <c r="B41" s="408">
        <v>742150</v>
      </c>
      <c r="C41" s="563" t="s">
        <v>200</v>
      </c>
      <c r="D41" s="703">
        <v>20000000</v>
      </c>
      <c r="E41" s="698" t="e">
        <f>(D41/12)*#REF!</f>
        <v>#REF!</v>
      </c>
      <c r="F41" s="409">
        <v>1056414.96</v>
      </c>
      <c r="G41" s="402" t="e">
        <f t="shared" si="4"/>
        <v>#REF!</v>
      </c>
      <c r="H41" s="403">
        <f t="shared" si="5"/>
        <v>0.052820748</v>
      </c>
    </row>
    <row r="42" spans="1:8" ht="18" customHeight="1">
      <c r="A42" s="399"/>
      <c r="B42" s="400">
        <v>742251</v>
      </c>
      <c r="C42" s="563" t="s">
        <v>863</v>
      </c>
      <c r="D42" s="702">
        <v>12000000</v>
      </c>
      <c r="E42" s="698" t="e">
        <f>(D42/12)*#REF!</f>
        <v>#REF!</v>
      </c>
      <c r="F42" s="409">
        <v>3517885.6</v>
      </c>
      <c r="G42" s="402" t="e">
        <f t="shared" si="4"/>
        <v>#REF!</v>
      </c>
      <c r="H42" s="403">
        <f t="shared" si="5"/>
        <v>0.2931571333333333</v>
      </c>
    </row>
    <row r="43" spans="1:8" ht="36" customHeight="1">
      <c r="A43" s="399"/>
      <c r="B43" s="667">
        <v>742253</v>
      </c>
      <c r="C43" s="668" t="s">
        <v>348</v>
      </c>
      <c r="D43" s="706">
        <v>5000000</v>
      </c>
      <c r="E43" s="707" t="e">
        <f>(D43/12)*#REF!</f>
        <v>#REF!</v>
      </c>
      <c r="F43" s="669">
        <v>0</v>
      </c>
      <c r="G43" s="670" t="e">
        <f t="shared" si="4"/>
        <v>#REF!</v>
      </c>
      <c r="H43" s="671">
        <f t="shared" si="5"/>
        <v>0</v>
      </c>
    </row>
    <row r="44" spans="1:8" ht="36" customHeight="1" thickBot="1">
      <c r="A44" s="752"/>
      <c r="B44" s="667">
        <v>742255</v>
      </c>
      <c r="C44" s="668" t="s">
        <v>201</v>
      </c>
      <c r="D44" s="706">
        <v>0</v>
      </c>
      <c r="E44" s="707" t="e">
        <f>(D44/12)*#REF!</f>
        <v>#REF!</v>
      </c>
      <c r="F44" s="669">
        <v>1216500</v>
      </c>
      <c r="G44" s="753" t="e">
        <f t="shared" si="4"/>
        <v>#REF!</v>
      </c>
      <c r="H44" s="753"/>
    </row>
    <row r="45" spans="1:8" ht="36" customHeight="1" thickBot="1">
      <c r="A45" s="769" t="s">
        <v>285</v>
      </c>
      <c r="B45" s="763">
        <v>743</v>
      </c>
      <c r="C45" s="764" t="s">
        <v>784</v>
      </c>
      <c r="D45" s="765">
        <f>D46+D47</f>
        <v>5200000</v>
      </c>
      <c r="E45" s="766" t="e">
        <f>(D45/12)*#REF!</f>
        <v>#REF!</v>
      </c>
      <c r="F45" s="766">
        <f>F46+F47</f>
        <v>5167350.23</v>
      </c>
      <c r="G45" s="767" t="e">
        <f t="shared" si="4"/>
        <v>#REF!</v>
      </c>
      <c r="H45" s="768">
        <f t="shared" si="5"/>
        <v>0.9937211980769232</v>
      </c>
    </row>
    <row r="46" spans="1:8" ht="36" customHeight="1">
      <c r="A46" s="407"/>
      <c r="B46" s="754">
        <v>743324</v>
      </c>
      <c r="C46" s="755" t="s">
        <v>286</v>
      </c>
      <c r="D46" s="756">
        <v>5000000</v>
      </c>
      <c r="E46" s="696" t="e">
        <f>(D46/12)*#REF!</f>
        <v>#REF!</v>
      </c>
      <c r="F46" s="757">
        <v>5100350.23</v>
      </c>
      <c r="G46" s="405" t="e">
        <f t="shared" si="4"/>
        <v>#REF!</v>
      </c>
      <c r="H46" s="406">
        <f t="shared" si="5"/>
        <v>1.020070046</v>
      </c>
    </row>
    <row r="47" spans="1:8" ht="36" customHeight="1" thickBot="1">
      <c r="A47" s="752"/>
      <c r="B47" s="758">
        <v>743351</v>
      </c>
      <c r="C47" s="759" t="s">
        <v>287</v>
      </c>
      <c r="D47" s="706">
        <v>200000</v>
      </c>
      <c r="E47" s="707" t="e">
        <f>(D47/12)*#REF!</f>
        <v>#REF!</v>
      </c>
      <c r="F47" s="760">
        <v>67000</v>
      </c>
      <c r="G47" s="761" t="e">
        <f t="shared" si="4"/>
        <v>#REF!</v>
      </c>
      <c r="H47" s="753">
        <f t="shared" si="5"/>
        <v>0.335</v>
      </c>
    </row>
    <row r="48" spans="1:8" ht="54" customHeight="1" thickBot="1">
      <c r="A48" s="762" t="s">
        <v>288</v>
      </c>
      <c r="B48" s="763">
        <v>744</v>
      </c>
      <c r="C48" s="764" t="s">
        <v>349</v>
      </c>
      <c r="D48" s="765">
        <f>SUM(D49:D49)</f>
        <v>1500000</v>
      </c>
      <c r="E48" s="766" t="e">
        <f>(D48/12)*#REF!</f>
        <v>#REF!</v>
      </c>
      <c r="F48" s="766">
        <f>F49</f>
        <v>0</v>
      </c>
      <c r="G48" s="767" t="e">
        <f t="shared" si="4"/>
        <v>#REF!</v>
      </c>
      <c r="H48" s="768">
        <f t="shared" si="5"/>
        <v>0</v>
      </c>
    </row>
    <row r="49" spans="1:8" ht="36" customHeight="1" thickBot="1">
      <c r="A49" s="410"/>
      <c r="B49" s="390">
        <v>744151</v>
      </c>
      <c r="C49" s="560" t="s">
        <v>350</v>
      </c>
      <c r="D49" s="708">
        <v>1500000</v>
      </c>
      <c r="E49" s="401" t="e">
        <f>(D49/12)*#REF!</f>
        <v>#REF!</v>
      </c>
      <c r="F49" s="391">
        <v>0</v>
      </c>
      <c r="G49" s="418" t="e">
        <f t="shared" si="4"/>
        <v>#REF!</v>
      </c>
      <c r="H49" s="393">
        <f t="shared" si="5"/>
        <v>0</v>
      </c>
    </row>
    <row r="50" spans="1:8" ht="36" customHeight="1" thickBot="1">
      <c r="A50" s="770" t="s">
        <v>289</v>
      </c>
      <c r="B50" s="771">
        <v>745</v>
      </c>
      <c r="C50" s="772" t="s">
        <v>785</v>
      </c>
      <c r="D50" s="765">
        <f>SUM(D51:D51)</f>
        <v>21000000</v>
      </c>
      <c r="E50" s="766" t="e">
        <f>(D50/12)*#REF!</f>
        <v>#REF!</v>
      </c>
      <c r="F50" s="766">
        <f>F51</f>
        <v>2078501.5</v>
      </c>
      <c r="G50" s="767" t="e">
        <f t="shared" si="4"/>
        <v>#REF!</v>
      </c>
      <c r="H50" s="773">
        <f t="shared" si="5"/>
        <v>0.0989762619047619</v>
      </c>
    </row>
    <row r="51" spans="1:8" ht="24.75" customHeight="1" thickBot="1">
      <c r="A51" s="410"/>
      <c r="B51" s="390">
        <v>745151</v>
      </c>
      <c r="C51" s="560" t="s">
        <v>202</v>
      </c>
      <c r="D51" s="708">
        <v>21000000</v>
      </c>
      <c r="E51" s="698" t="e">
        <f>(D51/12)*#REF!</f>
        <v>#REF!</v>
      </c>
      <c r="F51" s="415">
        <v>2078501.5</v>
      </c>
      <c r="G51" s="418" t="e">
        <f t="shared" si="4"/>
        <v>#REF!</v>
      </c>
      <c r="H51" s="393">
        <f t="shared" si="5"/>
        <v>0.0989762619047619</v>
      </c>
    </row>
    <row r="52" spans="1:8" ht="36" customHeight="1" thickBot="1">
      <c r="A52" s="774" t="s">
        <v>304</v>
      </c>
      <c r="B52" s="775">
        <v>8</v>
      </c>
      <c r="C52" s="776" t="s">
        <v>306</v>
      </c>
      <c r="D52" s="777">
        <f>D53+D55</f>
        <v>15000</v>
      </c>
      <c r="E52" s="778" t="e">
        <f>(D52/12)*#REF!</f>
        <v>#REF!</v>
      </c>
      <c r="F52" s="778">
        <f>F53+F55</f>
        <v>0</v>
      </c>
      <c r="G52" s="768" t="e">
        <f>F52/E52</f>
        <v>#REF!</v>
      </c>
      <c r="H52" s="779">
        <f>F52/D52</f>
        <v>0</v>
      </c>
    </row>
    <row r="53" spans="1:8" ht="54" customHeight="1" thickBot="1">
      <c r="A53" s="780" t="s">
        <v>270</v>
      </c>
      <c r="B53" s="781">
        <v>813</v>
      </c>
      <c r="C53" s="782" t="s">
        <v>228</v>
      </c>
      <c r="D53" s="783">
        <f>D54</f>
        <v>10000</v>
      </c>
      <c r="E53" s="784" t="e">
        <f>(D53/12)*#REF!</f>
        <v>#REF!</v>
      </c>
      <c r="F53" s="784">
        <v>0</v>
      </c>
      <c r="G53" s="767" t="e">
        <f aca="true" t="shared" si="6" ref="G53:G58">F53/E53</f>
        <v>#REF!</v>
      </c>
      <c r="H53" s="773">
        <f aca="true" t="shared" si="7" ref="H53:H58">F53/D53</f>
        <v>0</v>
      </c>
    </row>
    <row r="54" spans="1:8" ht="54" customHeight="1" thickBot="1">
      <c r="A54" s="420"/>
      <c r="B54" s="414">
        <v>813151</v>
      </c>
      <c r="C54" s="567" t="s">
        <v>291</v>
      </c>
      <c r="D54" s="710">
        <v>10000</v>
      </c>
      <c r="E54" s="709" t="e">
        <f>(D54/12)*#REF!</f>
        <v>#REF!</v>
      </c>
      <c r="F54" s="421">
        <v>0</v>
      </c>
      <c r="G54" s="422" t="e">
        <f t="shared" si="6"/>
        <v>#REF!</v>
      </c>
      <c r="H54" s="423">
        <f t="shared" si="7"/>
        <v>0</v>
      </c>
    </row>
    <row r="55" spans="1:8" ht="36" customHeight="1" thickBot="1">
      <c r="A55" s="785" t="s">
        <v>274</v>
      </c>
      <c r="B55" s="786">
        <v>841</v>
      </c>
      <c r="C55" s="787" t="s">
        <v>351</v>
      </c>
      <c r="D55" s="788">
        <f>D56</f>
        <v>5000</v>
      </c>
      <c r="E55" s="789" t="e">
        <f>(D55/12)*#REF!</f>
        <v>#REF!</v>
      </c>
      <c r="F55" s="790">
        <f>F56</f>
        <v>0</v>
      </c>
      <c r="G55" s="767" t="e">
        <f t="shared" si="6"/>
        <v>#REF!</v>
      </c>
      <c r="H55" s="773">
        <f t="shared" si="7"/>
        <v>0</v>
      </c>
    </row>
    <row r="56" spans="1:8" ht="36" customHeight="1" thickBot="1">
      <c r="A56" s="424"/>
      <c r="B56" s="419">
        <v>841151</v>
      </c>
      <c r="C56" s="568" t="s">
        <v>352</v>
      </c>
      <c r="D56" s="705">
        <v>5000</v>
      </c>
      <c r="E56" s="709" t="e">
        <f>(D56/12)*#REF!</f>
        <v>#REF!</v>
      </c>
      <c r="F56" s="391">
        <v>0</v>
      </c>
      <c r="G56" s="422" t="e">
        <f t="shared" si="6"/>
        <v>#REF!</v>
      </c>
      <c r="H56" s="423">
        <f t="shared" si="7"/>
        <v>0</v>
      </c>
    </row>
    <row r="57" spans="1:8" ht="54" customHeight="1" thickBot="1">
      <c r="A57" s="792" t="s">
        <v>305</v>
      </c>
      <c r="B57" s="775">
        <v>9</v>
      </c>
      <c r="C57" s="793" t="s">
        <v>292</v>
      </c>
      <c r="D57" s="777">
        <f>D58</f>
        <v>171537634</v>
      </c>
      <c r="E57" s="778" t="e">
        <f>(D57/12)*#REF!</f>
        <v>#REF!</v>
      </c>
      <c r="F57" s="778">
        <f>F58</f>
        <v>0</v>
      </c>
      <c r="G57" s="794" t="e">
        <f t="shared" si="6"/>
        <v>#REF!</v>
      </c>
      <c r="H57" s="795">
        <f t="shared" si="7"/>
        <v>0</v>
      </c>
    </row>
    <row r="58" spans="1:8" ht="36" customHeight="1" thickBot="1">
      <c r="A58" s="606"/>
      <c r="B58" s="419">
        <v>911400</v>
      </c>
      <c r="C58" s="607" t="s">
        <v>338</v>
      </c>
      <c r="D58" s="711">
        <v>171537634</v>
      </c>
      <c r="E58" s="791" t="e">
        <f>(D58/12)*#REF!</f>
        <v>#REF!</v>
      </c>
      <c r="F58" s="608">
        <v>0</v>
      </c>
      <c r="G58" s="412" t="e">
        <f t="shared" si="6"/>
        <v>#REF!</v>
      </c>
      <c r="H58" s="413">
        <f t="shared" si="7"/>
        <v>0</v>
      </c>
    </row>
  </sheetData>
  <sheetProtection/>
  <mergeCells count="1">
    <mergeCell ref="A1:H1"/>
  </mergeCells>
  <printOptions/>
  <pageMargins left="0.7480314960629921" right="0.7480314960629921" top="0.984251968503937" bottom="0.984251968503937" header="0.5118110236220472" footer="0.5118110236220472"/>
  <pageSetup firstPageNumber="1" useFirstPageNumber="1" horizontalDpi="600" verticalDpi="600" orientation="portrait" paperSize="9" scale="65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N48"/>
  <sheetViews>
    <sheetView tabSelected="1" zoomScalePageLayoutView="0" workbookViewId="0" topLeftCell="A1">
      <selection activeCell="D3" sqref="D3"/>
    </sheetView>
  </sheetViews>
  <sheetFormatPr defaultColWidth="9.140625" defaultRowHeight="12.75"/>
  <cols>
    <col min="1" max="1" width="5.7109375" style="3" customWidth="1"/>
    <col min="2" max="2" width="52.8515625" style="3" customWidth="1"/>
    <col min="3" max="3" width="16.140625" style="3" hidden="1" customWidth="1"/>
    <col min="4" max="4" width="19.140625" style="3" customWidth="1"/>
    <col min="5" max="5" width="17.7109375" style="3" customWidth="1"/>
    <col min="6" max="6" width="18.57421875" style="3" customWidth="1"/>
    <col min="7" max="8" width="16.140625" style="3" hidden="1" customWidth="1"/>
    <col min="9" max="9" width="0.85546875" style="3" hidden="1" customWidth="1"/>
    <col min="10" max="10" width="13.140625" style="18" hidden="1" customWidth="1"/>
    <col min="11" max="11" width="11.140625" style="3" hidden="1" customWidth="1"/>
    <col min="12" max="12" width="14.00390625" style="570" bestFit="1" customWidth="1"/>
    <col min="13" max="14" width="11.8515625" style="3" bestFit="1" customWidth="1"/>
    <col min="15" max="16384" width="9.140625" style="3" customWidth="1"/>
  </cols>
  <sheetData>
    <row r="1" spans="1:8" ht="20.25" customHeight="1">
      <c r="A1" s="851" t="s">
        <v>210</v>
      </c>
      <c r="B1" s="851"/>
      <c r="C1" s="851"/>
      <c r="D1" s="851"/>
      <c r="E1" s="851"/>
      <c r="F1" s="851"/>
      <c r="G1" s="851"/>
      <c r="H1" s="851"/>
    </row>
    <row r="2" spans="1:9" ht="12.75" customHeight="1" hidden="1">
      <c r="A2" s="16"/>
      <c r="B2" s="1"/>
      <c r="C2" s="13"/>
      <c r="D2" s="13"/>
      <c r="E2" s="13"/>
      <c r="F2" s="13"/>
      <c r="G2" s="13"/>
      <c r="H2" s="13"/>
      <c r="I2" s="13"/>
    </row>
    <row r="3" spans="1:10" ht="126.75" customHeight="1">
      <c r="A3" s="425" t="s">
        <v>303</v>
      </c>
      <c r="B3" s="427" t="s">
        <v>874</v>
      </c>
      <c r="C3" s="19" t="s">
        <v>340</v>
      </c>
      <c r="D3" s="428" t="s">
        <v>20</v>
      </c>
      <c r="E3" s="428" t="s">
        <v>925</v>
      </c>
      <c r="F3" s="428" t="s">
        <v>209</v>
      </c>
      <c r="G3" s="19"/>
      <c r="H3" s="19" t="s">
        <v>257</v>
      </c>
      <c r="I3" s="19" t="s">
        <v>340</v>
      </c>
      <c r="J3" s="18" t="s">
        <v>423</v>
      </c>
    </row>
    <row r="4" spans="1:12" s="12" customFormat="1" ht="12.75" customHeight="1">
      <c r="A4" s="2">
        <v>1</v>
      </c>
      <c r="B4" s="2">
        <v>2</v>
      </c>
      <c r="C4" s="10">
        <v>3</v>
      </c>
      <c r="D4" s="10">
        <v>4</v>
      </c>
      <c r="E4" s="10">
        <v>5</v>
      </c>
      <c r="F4" s="10">
        <v>6</v>
      </c>
      <c r="G4" s="10"/>
      <c r="H4" s="10">
        <v>4</v>
      </c>
      <c r="I4" s="10">
        <v>3</v>
      </c>
      <c r="J4" s="46"/>
      <c r="L4" s="574"/>
    </row>
    <row r="5" spans="1:10" ht="33" customHeight="1">
      <c r="A5" s="229" t="s">
        <v>816</v>
      </c>
      <c r="B5" s="195" t="s">
        <v>825</v>
      </c>
      <c r="C5" s="77" t="e">
        <f aca="true" t="shared" si="0" ref="C5:I5">C6+C39+C46</f>
        <v>#REF!</v>
      </c>
      <c r="D5" s="572">
        <f t="shared" si="0"/>
        <v>1542006634</v>
      </c>
      <c r="E5" s="572">
        <f t="shared" si="0"/>
        <v>1542256634</v>
      </c>
      <c r="F5" s="572">
        <f t="shared" si="0"/>
        <v>539969445.7499999</v>
      </c>
      <c r="G5" s="77" t="e">
        <f t="shared" si="0"/>
        <v>#REF!</v>
      </c>
      <c r="H5" s="77" t="e">
        <f t="shared" si="0"/>
        <v>#REF!</v>
      </c>
      <c r="I5" s="42" t="e">
        <f t="shared" si="0"/>
        <v>#REF!</v>
      </c>
      <c r="J5" s="18">
        <f>F6+F39</f>
        <v>522417087.8299999</v>
      </c>
    </row>
    <row r="6" spans="1:9" ht="19.5" customHeight="1">
      <c r="A6" s="78">
        <v>4</v>
      </c>
      <c r="B6" s="195" t="s">
        <v>814</v>
      </c>
      <c r="C6" s="77" t="e">
        <f>C7+C14+C21++C23+C26+C30+C32+C37</f>
        <v>#REF!</v>
      </c>
      <c r="D6" s="572">
        <f>D7+D14+D21+D23+D26+D30+D32+D37</f>
        <v>1297496634</v>
      </c>
      <c r="E6" s="572">
        <f>E7+E14+E21+E23+E26+E30+E32+E37</f>
        <v>1297478194</v>
      </c>
      <c r="F6" s="572">
        <f>F7+F14+F21+F23+F26+F30+F32</f>
        <v>505712252.99999994</v>
      </c>
      <c r="G6" s="77" t="e">
        <f>G7+G14+G21+G23+G26+G30+G32+G37</f>
        <v>#REF!</v>
      </c>
      <c r="H6" s="77" t="e">
        <f>H7+H14+H21++H23+H26+H30+H32+H37</f>
        <v>#REF!</v>
      </c>
      <c r="I6" s="43" t="e">
        <f>I7+I14+I21++I23+I26+I30+I32+I37</f>
        <v>#REF!</v>
      </c>
    </row>
    <row r="7" spans="1:9" ht="19.5" customHeight="1">
      <c r="A7" s="230">
        <v>41</v>
      </c>
      <c r="B7" s="230" t="s">
        <v>804</v>
      </c>
      <c r="C7" s="49" t="e">
        <f>SUM(C8:C13)</f>
        <v>#REF!</v>
      </c>
      <c r="D7" s="690">
        <f>D8+D9+D10+D11+D12+D13</f>
        <v>401582116</v>
      </c>
      <c r="E7" s="573">
        <f>E8+E9+E10+E11+E12+E13</f>
        <v>396282116</v>
      </c>
      <c r="F7" s="690">
        <f>F8+F9+F10+F11+F12+F13</f>
        <v>186172042.62999997</v>
      </c>
      <c r="G7" s="49" t="e">
        <f>G8+G9+#REF!+G10+G11+G12+G13</f>
        <v>#REF!</v>
      </c>
      <c r="H7" s="49" t="e">
        <f>SUM(H8:H13)</f>
        <v>#REF!</v>
      </c>
      <c r="I7" s="14" t="e">
        <f>SUM(I8:I13)</f>
        <v>#REF!</v>
      </c>
    </row>
    <row r="8" spans="1:13" ht="14.25" customHeight="1">
      <c r="A8" s="79">
        <v>411</v>
      </c>
      <c r="B8" s="51" t="s">
        <v>836</v>
      </c>
      <c r="C8" s="50" t="e">
        <f>#REF!+#REF!+#REF!+#REF!+#REF!+#REF!+#REF!+#REF!+#REF!+#REF!+#REF!+#REF!+#REF!</f>
        <v>#REF!</v>
      </c>
      <c r="D8" s="691">
        <f>fplan!I8+fplan!I44+fplan!I109+fplan!I132+fplan!I158+fplan!I291+fplan!I314+fplan!I408+fplan!I486+fplan!I565+fplan!I662+fplan!I736+fplan!I784+fplan!I805</f>
        <v>302827940</v>
      </c>
      <c r="E8" s="684">
        <f>fplan!J8+fplan!J44+fplan!J109+fplan!J132+fplan!J158+fplan!J291+fplan!J314+fplan!J408+fplan!J486+fplan!J565+fplan!J662+fplan!J736+fplan!J784+fplan!J805</f>
        <v>297377940</v>
      </c>
      <c r="F8" s="691">
        <f>fplan!K8+fplan!K44+fplan!K109+fplan!K132+fplan!K158+fplan!K291+fplan!K314+fplan!K408+fplan!K486+fplan!K565+fplan!K662+fplan!K736+fplan!K784+fplan!K805</f>
        <v>146597777.15999997</v>
      </c>
      <c r="G8" s="50" t="e">
        <f>#REF!+#REF!+#REF!+#REF!+#REF!+#REF!+#REF!+#REF!+#REF!+#REF!+#REF!+#REF!+#REF!</f>
        <v>#REF!</v>
      </c>
      <c r="H8" s="50" t="e">
        <f>#REF!+#REF!</f>
        <v>#REF!</v>
      </c>
      <c r="I8" s="15" t="e">
        <f>#REF!+#REF!+#REF!+#REF!+#REF!+#REF!+#REF!+#REF!+#REF!+#REF!+#REF!+#REF!+#REF!</f>
        <v>#REF!</v>
      </c>
      <c r="K8" s="18">
        <f>F8+F9+F29</f>
        <v>187710287.87999997</v>
      </c>
      <c r="M8" s="18"/>
    </row>
    <row r="9" spans="1:13" ht="15.75">
      <c r="A9" s="79">
        <v>412</v>
      </c>
      <c r="B9" s="51" t="s">
        <v>805</v>
      </c>
      <c r="C9" s="50" t="e">
        <f>#REF!+#REF!+#REF!+#REF!+#REF!+#REF!+#REF!+#REF!+#REF!+#REF!+#REF!+#REF!+#REF!</f>
        <v>#REF!</v>
      </c>
      <c r="D9" s="691">
        <f>fplan!I10+fplan!I46+fplan!I111+fplan!I160+fplan!I293+fplan!I316+fplan!I410+fplan!I488+fplan!I567+fplan!I664+fplan!I738+fplan!I786+fplan!I807+fplan!I134</f>
        <v>55442932</v>
      </c>
      <c r="E9" s="691">
        <f>fplan!J10+fplan!J46+fplan!J111+fplan!J134+fplan!J160+fplan!J293+fplan!J316+fplan!J410+fplan!J488+fplan!J567+fplan!J664+fplan!J738+fplan!J786+fplan!J807</f>
        <v>55442932</v>
      </c>
      <c r="F9" s="691">
        <f>fplan!K10+fplan!K46+fplan!K111+fplan!K134+fplan!K160+fplan!K293+fplan!K316+fplan!K410+fplan!K488+fplan!K567+fplan!K664+fplan!K738+fplan!K786+fplan!K807</f>
        <v>26171157.63</v>
      </c>
      <c r="G9" s="50" t="e">
        <f>#REF!+#REF!+#REF!+#REF!+#REF!+#REF!+#REF!+#REF!+#REF!+#REF!+#REF!+#REF!+#REF!</f>
        <v>#REF!</v>
      </c>
      <c r="H9" s="50" t="e">
        <f>#REF!+#REF!+#REF!+#REF!+#REF!+#REF!</f>
        <v>#REF!</v>
      </c>
      <c r="I9" s="15" t="e">
        <f>#REF!+#REF!+#REF!+#REF!+#REF!+#REF!+#REF!+#REF!+#REF!+#REF!+#REF!+#REF!+#REF!</f>
        <v>#REF!</v>
      </c>
      <c r="M9" s="18"/>
    </row>
    <row r="10" spans="1:11" ht="15.75">
      <c r="A10" s="79">
        <v>414</v>
      </c>
      <c r="B10" s="51" t="s">
        <v>792</v>
      </c>
      <c r="C10" s="50" t="e">
        <f>#REF!+#REF!+#REF!+#REF!+#REF!+#REF!</f>
        <v>#REF!</v>
      </c>
      <c r="D10" s="691">
        <f>fplan!I138+fplan!I164+fplan!I297+fplan!I320+fplan!I414+fplan!I492+fplan!I571+fplan!I668+fplan!I742+fplan!I790+fplan!I811</f>
        <v>21012244</v>
      </c>
      <c r="E10" s="684">
        <f>fplan!J138+fplan!J164+fplan!J297+fplan!J320+fplan!J414+fplan!J492+fplan!J571+fplan!J668+fplan!J742+fplan!J790+fplan!J811</f>
        <v>21162244</v>
      </c>
      <c r="F10" s="691">
        <f>fplan!K138+fplan!K164+fplan!K297+fplan!K320+fplan!K414+fplan!K492+fplan!K571+fplan!K668+fplan!K742+fplan!K790+fplan!K811</f>
        <v>4858709.130000001</v>
      </c>
      <c r="G10" s="50" t="e">
        <f>#REF!+#REF!+#REF!+#REF!+#REF!+#REF!+#REF!</f>
        <v>#REF!</v>
      </c>
      <c r="H10" s="50" t="e">
        <f>#REF!+#REF!+#REF!+#REF!</f>
        <v>#REF!</v>
      </c>
      <c r="I10" s="15" t="e">
        <f>#REF!+#REF!+#REF!+#REF!+#REF!+#REF!</f>
        <v>#REF!</v>
      </c>
      <c r="K10" s="18"/>
    </row>
    <row r="11" spans="1:9" ht="15.75">
      <c r="A11" s="79">
        <v>415</v>
      </c>
      <c r="B11" s="51" t="s">
        <v>852</v>
      </c>
      <c r="C11" s="50" t="e">
        <f>#REF!+#REF!+#REF!+#REF!+#REF!+#REF!+#REF!+#REF!+#REF!+#REF!+#REF!+#REF!+#REF!</f>
        <v>#REF!</v>
      </c>
      <c r="D11" s="691">
        <f>fplan!I14+fplan!I50+fplan!I115+fplan!I140+fplan!I168+fplan!I299+fplan!I322+fplan!I417+fplan!I494+fplan!I573+fplan!I670+fplan!I744+fplan!I792+fplan!I814</f>
        <v>14624000</v>
      </c>
      <c r="E11" s="691">
        <f>fplan!J14+fplan!J50+fplan!J115+fplan!J140+fplan!J168+fplan!J299+fplan!J322+fplan!J417+fplan!J494+fplan!J573+fplan!J670+fplan!J744+fplan!J792+fplan!J814</f>
        <v>14624000</v>
      </c>
      <c r="F11" s="691">
        <f>fplan!K14+fplan!K50+fplan!K115+fplan!K140+fplan!K168+fplan!K299+fplan!K322+fplan!K417+fplan!K494+fplan!K573+fplan!K670+fplan!K744+fplan!K792+fplan!K814</f>
        <v>6921415.779999999</v>
      </c>
      <c r="G11" s="50" t="e">
        <f>#REF!+#REF!+#REF!+#REF!+#REF!+#REF!+#REF!+#REF!+#REF!+#REF!+#REF!+#REF!+#REF!</f>
        <v>#REF!</v>
      </c>
      <c r="H11" s="50" t="e">
        <f>#REF!+#REF!+#REF!+#REF!+#REF!+#REF!</f>
        <v>#REF!</v>
      </c>
      <c r="I11" s="15" t="e">
        <f>#REF!+#REF!+#REF!+#REF!+#REF!+#REF!+#REF!+#REF!+#REF!+#REF!+#REF!+#REF!+#REF!</f>
        <v>#REF!</v>
      </c>
    </row>
    <row r="12" spans="1:9" ht="15.75" customHeight="1">
      <c r="A12" s="79">
        <v>416</v>
      </c>
      <c r="B12" s="51" t="s">
        <v>854</v>
      </c>
      <c r="C12" s="50" t="e">
        <f>#REF!+#REF!+#REF!+#REF!+#REF!+#REF!</f>
        <v>#REF!</v>
      </c>
      <c r="D12" s="691">
        <f>fplan!I170+fplan!I301+fplan!I324+fplan!I419+fplan!I496+fplan!I575+fplan!I672+fplan!I746</f>
        <v>6175000</v>
      </c>
      <c r="E12" s="691">
        <f>fplan!J170+fplan!J301+fplan!J324+fplan!J419+fplan!J496+fplan!J575+fplan!J672+fplan!J746</f>
        <v>6175000</v>
      </c>
      <c r="F12" s="691">
        <f>fplan!K170+fplan!K301+fplan!K324+fplan!K419+fplan!K496+fplan!K575+fplan!K672+fplan!K746</f>
        <v>662982.6499999999</v>
      </c>
      <c r="G12" s="50" t="e">
        <f>#REF!+#REF!+#REF!+#REF!+#REF!+#REF!</f>
        <v>#REF!</v>
      </c>
      <c r="H12" s="50" t="e">
        <f>#REF!+#REF!+#REF!+#REF!+#REF!</f>
        <v>#REF!</v>
      </c>
      <c r="I12" s="15" t="e">
        <f>#REF!+#REF!+#REF!+#REF!+#REF!+#REF!</f>
        <v>#REF!</v>
      </c>
    </row>
    <row r="13" spans="1:9" ht="15.75" customHeight="1">
      <c r="A13" s="79">
        <v>417</v>
      </c>
      <c r="B13" s="51" t="s">
        <v>319</v>
      </c>
      <c r="C13" s="50" t="e">
        <f>#REF!</f>
        <v>#REF!</v>
      </c>
      <c r="D13" s="691">
        <f>fplan!I16</f>
        <v>1500000</v>
      </c>
      <c r="E13" s="691">
        <f>fplan!J16</f>
        <v>1500000</v>
      </c>
      <c r="F13" s="691">
        <f>fplan!K16</f>
        <v>960000.28</v>
      </c>
      <c r="G13" s="50" t="e">
        <f>#REF!</f>
        <v>#REF!</v>
      </c>
      <c r="H13" s="50" t="e">
        <f>#REF!</f>
        <v>#REF!</v>
      </c>
      <c r="I13" s="15" t="e">
        <f>#REF!</f>
        <v>#REF!</v>
      </c>
    </row>
    <row r="14" spans="1:9" ht="15.75">
      <c r="A14" s="80">
        <v>42</v>
      </c>
      <c r="B14" s="80" t="s">
        <v>806</v>
      </c>
      <c r="C14" s="49" t="e">
        <f>SUM(C15:C20)</f>
        <v>#REF!</v>
      </c>
      <c r="D14" s="690">
        <f>D15+D16+D17+D18+D19+D20</f>
        <v>323252500</v>
      </c>
      <c r="E14" s="573">
        <f>E15+E16+E17+E18+E19+E20</f>
        <v>329809695</v>
      </c>
      <c r="F14" s="690">
        <f>F15+F16+F17+F18+F19+F20</f>
        <v>96396327.5</v>
      </c>
      <c r="G14" s="49" t="e">
        <f>G15+G16+G17+G18+G19+G20</f>
        <v>#REF!</v>
      </c>
      <c r="H14" s="49" t="e">
        <f>SUM(H15:H20)</f>
        <v>#REF!</v>
      </c>
      <c r="I14" s="14" t="e">
        <f>SUM(I15:I20)</f>
        <v>#REF!</v>
      </c>
    </row>
    <row r="15" spans="1:9" ht="15.75">
      <c r="A15" s="79">
        <v>421</v>
      </c>
      <c r="B15" s="51" t="s">
        <v>791</v>
      </c>
      <c r="C15" s="50" t="e">
        <f>#REF!+#REF!+#REF!+#REF!+#REF!+#REF!+#REF!+#REF!+#REF!+#REF!</f>
        <v>#REF!</v>
      </c>
      <c r="D15" s="691">
        <f>fplan!I52+fplan!I172+fplan!I252+fplan!I326+fplan!I421+fplan!I457+fplan!I498+fplan!I577+fplan!I674+fplan!I748+fplan!I816+fplan!I867+fplan!I244</f>
        <v>127496000</v>
      </c>
      <c r="E15" s="684">
        <f>fplan!J52+fplan!J172+fplan!J252+fplan!J326+fplan!J421+fplan!J457+fplan!J498+fplan!J577+fplan!J674+fplan!J748+fplan!J816+fplan!J867+fplan!J244</f>
        <v>134645000</v>
      </c>
      <c r="F15" s="691">
        <f>fplan!K52+fplan!K172+fplan!K244+fplan!K252+fplan!K326+fplan!K421+fplan!K457+fplan!K498+fplan!K577+fplan!K674+fplan!K748+fplan!K816+fplan!K867</f>
        <v>56867866.17999999</v>
      </c>
      <c r="G15" s="50" t="e">
        <f>#REF!+#REF!+#REF!+#REF!+#REF!+#REF!+#REF!+#REF!+#REF!+#REF!</f>
        <v>#REF!</v>
      </c>
      <c r="H15" s="50" t="e">
        <f>#REF!+#REF!+#REF!+#REF!+#REF!+#REF!+#REF!+#REF!+#REF!+#REF!</f>
        <v>#REF!</v>
      </c>
      <c r="I15" s="15" t="e">
        <f>#REF!+#REF!+#REF!+#REF!+#REF!+#REF!+#REF!+#REF!+#REF!+#REF!</f>
        <v>#REF!</v>
      </c>
    </row>
    <row r="16" spans="1:9" ht="15.75">
      <c r="A16" s="79">
        <v>422</v>
      </c>
      <c r="B16" s="51" t="s">
        <v>793</v>
      </c>
      <c r="C16" s="50" t="e">
        <f>#REF!+#REF!+#REF!+#REF!+#REF!+#REF!+#REF!+#REF!+#REF!+#REF!+#REF!+#REF!</f>
        <v>#REF!</v>
      </c>
      <c r="D16" s="691">
        <f>fplan!I18+fplan!I62+fplan!I117+fplan!I142+fplan!I179+fplan!I391+fplan!I472+fplan!I510+fplan!I589+fplan!I621+fplan!I645+fplan!I685+fplan!I754+fplan!I824</f>
        <v>6510000</v>
      </c>
      <c r="E16" s="684">
        <f>fplan!J18+fplan!J62+fplan!J117+fplan!J142+fplan!J179+fplan!J391+fplan!J472+fplan!J510+fplan!J589+fplan!J621+fplan!J645+fplan!J685+fplan!J754+fplan!J824</f>
        <v>6650000</v>
      </c>
      <c r="F16" s="691">
        <f>fplan!K18+fplan!K62+fplan!K117+fplan!K142+fplan!K179+fplan!K391+fplan!K472+fplan!K510+fplan!K589+fplan!K621+fplan!K645+fplan!K685+fplan!K754+fplan!K824</f>
        <v>2054170.79</v>
      </c>
      <c r="G16" s="50" t="e">
        <f>#REF!+#REF!+#REF!+#REF!+#REF!+#REF!+#REF!+#REF!+#REF!+#REF!+#REF!+#REF!</f>
        <v>#REF!</v>
      </c>
      <c r="H16" s="50" t="e">
        <f>#REF!+#REF!+#REF!+#REF!+#REF!</f>
        <v>#REF!</v>
      </c>
      <c r="I16" s="15" t="e">
        <f>#REF!+#REF!+#REF!+#REF!+#REF!+#REF!+#REF!+#REF!+#REF!+#REF!+#REF!+#REF!</f>
        <v>#REF!</v>
      </c>
    </row>
    <row r="17" spans="1:9" ht="15.75">
      <c r="A17" s="79">
        <v>423</v>
      </c>
      <c r="B17" s="51" t="s">
        <v>794</v>
      </c>
      <c r="C17" s="50" t="e">
        <f>#REF!+#REF!+#REF!+#REF!+#REF!+#REF!+#REF!+#REF!+#REF!+#REF!+#REF!+#REF!+#REF!</f>
        <v>#REF!</v>
      </c>
      <c r="D17" s="691">
        <f>fplan!I21+fplan!I66+fplan!I120+fplan!I144+fplan!I182+fplan!I426+fplan!I474+fplan!I513+fplan!I591+fplan!I623+fplan!I634+fplan!I647+fplan!I688+fplan!I756+fplan!I826+fplan!I869+fplan!I887</f>
        <v>26654000</v>
      </c>
      <c r="E17" s="684">
        <f>fplan!J21+fplan!J66+fplan!J120+fplan!J144+fplan!J182+fplan!J426+fplan!J474+fplan!J513+fplan!J591+fplan!J623+fplan!J634+fplan!J647+fplan!J688+fplan!J756+fplan!J826+fplan!J869+fplan!J887</f>
        <v>26714000</v>
      </c>
      <c r="F17" s="691">
        <f>fplan!K21+fplan!K66+fplan!K120+fplan!K144+fplan!K182+fplan!K426+fplan!K474+fplan!K513+fplan!K591+fplan!K623+fplan!K634+fplan!K647+fplan!K688+fplan!K756+fplan!K826+fplan!K869+fplan!K887</f>
        <v>4375033.75</v>
      </c>
      <c r="G17" s="50" t="e">
        <f>#REF!+#REF!+#REF!+#REF!+#REF!+#REF!+#REF!+#REF!+#REF!+#REF!+#REF!+#REF!+#REF!</f>
        <v>#REF!</v>
      </c>
      <c r="H17" s="50" t="e">
        <f>#REF!+#REF!+#REF!+#REF!+#REF!</f>
        <v>#REF!</v>
      </c>
      <c r="I17" s="15" t="e">
        <f>#REF!+#REF!+#REF!+#REF!+#REF!+#REF!+#REF!+#REF!+#REF!+#REF!+#REF!+#REF!+#REF!</f>
        <v>#REF!</v>
      </c>
    </row>
    <row r="18" spans="1:9" ht="15.75">
      <c r="A18" s="79">
        <v>424</v>
      </c>
      <c r="B18" s="51" t="s">
        <v>800</v>
      </c>
      <c r="C18" s="50" t="e">
        <f>#REF!+#REF!+#REF!+#REF!+#REF!+#REF!+#REF!+#REF!+#REF!+#REF!+#REF!+#REF!</f>
        <v>#REF!</v>
      </c>
      <c r="D18" s="691">
        <f>fplan!I24+fplan!I76+fplan!I122+fplan!I191+fplan!I237+fplan!I264+fplan!I331+fplan!I393+fplan!I432+fplan!I477+fplan!I518+fplan!I546+fplan!I553+fplan!I597+fplan!I625+fplan!I636+fplan!I649+fplan!I724+fplan!I759+fplan!I834+fplan!I871+fplan!I889+fplan!I943+fplan!I983</f>
        <v>46765000</v>
      </c>
      <c r="E18" s="691">
        <f>fplan!J24+fplan!J76+fplan!J122+fplan!J191+fplan!J237+fplan!J264+fplan!J331+fplan!J393+fplan!J432+fplan!J477+fplan!J518+fplan!J546+fplan!J553+fplan!J597+fplan!J625+fplan!J636+fplan!J649+fplan!J724+fplan!J759+fplan!J834+fplan!J871+fplan!J889+fplan!J943+fplan!J983</f>
        <v>46765000</v>
      </c>
      <c r="F18" s="691">
        <f>fplan!K24+fplan!K76+fplan!K122+fplan!K191+fplan!K237+fplan!K264+fplan!K331+fplan!K393+fplan!K432+fplan!K477+fplan!K518+fplan!K546+fplan!K553+fplan!K597+fplan!K625+fplan!K636+fplan!K649+fplan!K724+fplan!K759+fplan!K834+fplan!K871+fplan!K889+fplan!K943+fplan!K983</f>
        <v>6460328.3100000005</v>
      </c>
      <c r="G18" s="50" t="e">
        <f>#REF!+#REF!+#REF!+#REF!+#REF!+#REF!+#REF!+#REF!+#REF!+#REF!+#REF!+#REF!+#REF!</f>
        <v>#REF!</v>
      </c>
      <c r="H18" s="50" t="e">
        <f>#REF!+#REF!+#REF!+#REF!+#REF!+#REF!+#REF!+#REF!</f>
        <v>#REF!</v>
      </c>
      <c r="I18" s="15" t="e">
        <f>#REF!+#REF!+#REF!+#REF!+#REF!+#REF!+#REF!+#REF!+#REF!+#REF!+#REF!+#REF!</f>
        <v>#REF!</v>
      </c>
    </row>
    <row r="19" spans="1:9" ht="15.75">
      <c r="A19" s="79">
        <v>425</v>
      </c>
      <c r="B19" s="51" t="s">
        <v>797</v>
      </c>
      <c r="C19" s="50" t="e">
        <f>#REF!+#REF!+#REF!+#REF!+#REF!+#REF!+#REF!+#REF!+#REF!</f>
        <v>#REF!</v>
      </c>
      <c r="D19" s="691">
        <f>fplan!I195+fplan!I255+fplan!I334+fplan!I436+fplan!I460+fplan!I521+fplan!I600+fplan!I699+fplan!I762+fplan!I836+fplan!I873+fplan!I902+fplan!I946+fplan!I255</f>
        <v>105297500</v>
      </c>
      <c r="E19" s="684">
        <f>fplan!J195+fplan!J255+fplan!J334+fplan!J436+fplan!J460+fplan!J521+fplan!J600+fplan!J699+fplan!J762+fplan!J836+fplan!J873+fplan!J902+fplan!J946+fplan!J397</f>
        <v>104350695</v>
      </c>
      <c r="F19" s="691">
        <f>fplan!K195+fplan!K255+fplan!K331+fplan!K397+fplan!K436+fplan!K460+fplan!K521+fplan!K600+fplan!K699+fplan!K762+fplan!K836+fplan!K873+fplan!K902+fplan!K946+fplan!K334</f>
        <v>23716751.880000003</v>
      </c>
      <c r="G19" s="50" t="e">
        <f>#REF!+#REF!+#REF!+#REF!+#REF!+#REF!+#REF!+#REF!+#REF!</f>
        <v>#REF!</v>
      </c>
      <c r="H19" s="50" t="e">
        <f>#REF!+#REF!+#REF!+#REF!+#REF!+#REF!+#REF!+#REF!+#REF!</f>
        <v>#REF!</v>
      </c>
      <c r="I19" s="15" t="e">
        <f>#REF!+#REF!+#REF!+#REF!+#REF!+#REF!+#REF!+#REF!+#REF!</f>
        <v>#REF!</v>
      </c>
    </row>
    <row r="20" spans="1:9" ht="15.75">
      <c r="A20" s="79">
        <v>426</v>
      </c>
      <c r="B20" s="51" t="s">
        <v>795</v>
      </c>
      <c r="C20" s="50" t="e">
        <f>#REF!+#REF!+#REF!+#REF!+#REF!+#REF!+#REF!+#REF!+#REF!+#REF!+#REF!+#REF!</f>
        <v>#REF!</v>
      </c>
      <c r="D20" s="691">
        <f>fplan!I26+fplan!I79+fplan!I146+fplan!I198+fplan!I337+fplan!I438+fplan!I462+fplan!I524+fplan!I603+fplan!I627+fplan!I638+fplan!I651+fplan!I702+fplan!I764+fplan!I839</f>
        <v>10530000</v>
      </c>
      <c r="E20" s="684">
        <f>fplan!J26+fplan!J79+fplan!J146+fplan!J198+fplan!J337+fplan!J438+fplan!J462+fplan!J524+fplan!J603+fplan!J627+fplan!J638+fplan!J651+fplan!J702+fplan!J764+fplan!J839</f>
        <v>10685000</v>
      </c>
      <c r="F20" s="691">
        <f>fplan!K79+fplan!K146+fplan!K198+fplan!K337+fplan!K438+fplan!K462+fplan!K524+fplan!K603+fplan!K627+fplan!K638+fplan!K651+fplan!K702+fplan!K764+fplan!K839</f>
        <v>2922176.59</v>
      </c>
      <c r="G20" s="50" t="e">
        <f>#REF!+#REF!+#REF!+#REF!+#REF!+#REF!+#REF!+#REF!+#REF!+#REF!+#REF!+#REF!</f>
        <v>#REF!</v>
      </c>
      <c r="H20" s="50" t="e">
        <f>#REF!+#REF!+#REF!+#REF!</f>
        <v>#REF!</v>
      </c>
      <c r="I20" s="15" t="e">
        <f>#REF!+#REF!+#REF!+#REF!+#REF!+#REF!+#REF!+#REF!+#REF!+#REF!+#REF!+#REF!</f>
        <v>#REF!</v>
      </c>
    </row>
    <row r="21" spans="1:9" ht="16.5" customHeight="1">
      <c r="A21" s="80">
        <v>44</v>
      </c>
      <c r="B21" s="80" t="s">
        <v>855</v>
      </c>
      <c r="C21" s="49" t="e">
        <f>SUM(C22:C22)</f>
        <v>#REF!</v>
      </c>
      <c r="D21" s="573">
        <v>10000000</v>
      </c>
      <c r="E21" s="573">
        <f>E22</f>
        <v>10000000</v>
      </c>
      <c r="F21" s="690">
        <f>Rashodi!F22</f>
        <v>3729636.27</v>
      </c>
      <c r="G21" s="49" t="e">
        <f>G22+#REF!</f>
        <v>#REF!</v>
      </c>
      <c r="H21" s="49" t="e">
        <f>SUM(H22:H22)</f>
        <v>#REF!</v>
      </c>
      <c r="I21" s="14" t="e">
        <f>SUM(I22:I22)</f>
        <v>#REF!</v>
      </c>
    </row>
    <row r="22" spans="1:9" ht="15.75">
      <c r="A22" s="79">
        <v>441</v>
      </c>
      <c r="B22" s="51" t="s">
        <v>807</v>
      </c>
      <c r="C22" s="50" t="e">
        <f>#REF!</f>
        <v>#REF!</v>
      </c>
      <c r="D22" s="691">
        <f>fplan!I229</f>
        <v>10000000</v>
      </c>
      <c r="E22" s="691">
        <f>fplan!J229</f>
        <v>10000000</v>
      </c>
      <c r="F22" s="691">
        <f>fplan!K229</f>
        <v>3729636.27</v>
      </c>
      <c r="G22" s="50" t="e">
        <f>#REF!</f>
        <v>#REF!</v>
      </c>
      <c r="H22" s="50" t="e">
        <f>#REF!</f>
        <v>#REF!</v>
      </c>
      <c r="I22" s="15" t="e">
        <f>#REF!</f>
        <v>#REF!</v>
      </c>
    </row>
    <row r="23" spans="1:9" ht="18.75" customHeight="1">
      <c r="A23" s="80">
        <v>45</v>
      </c>
      <c r="B23" s="80" t="s">
        <v>808</v>
      </c>
      <c r="C23" s="49" t="e">
        <f aca="true" t="shared" si="1" ref="C23:I23">C24+C25</f>
        <v>#REF!</v>
      </c>
      <c r="D23" s="573">
        <f>D24+D25</f>
        <v>198142400</v>
      </c>
      <c r="E23" s="573">
        <f>E24+E25</f>
        <v>198142400</v>
      </c>
      <c r="F23" s="690">
        <f>F24+F25</f>
        <v>73395162.28999999</v>
      </c>
      <c r="G23" s="49" t="e">
        <f t="shared" si="1"/>
        <v>#REF!</v>
      </c>
      <c r="H23" s="49" t="e">
        <f t="shared" si="1"/>
        <v>#REF!</v>
      </c>
      <c r="I23" s="14" t="e">
        <f t="shared" si="1"/>
        <v>#REF!</v>
      </c>
    </row>
    <row r="24" spans="1:9" ht="31.5" customHeight="1">
      <c r="A24" s="51">
        <v>451</v>
      </c>
      <c r="B24" s="51" t="s">
        <v>809</v>
      </c>
      <c r="C24" s="50" t="e">
        <f>#REF!+#REF!+#REF!</f>
        <v>#REF!</v>
      </c>
      <c r="D24" s="691">
        <f>fplan!I916+fplan!I958</f>
        <v>192670000</v>
      </c>
      <c r="E24" s="691">
        <f>fplan!J916+fplan!J958</f>
        <v>192670000</v>
      </c>
      <c r="F24" s="691">
        <f>fplan!K916+fplan!K958</f>
        <v>70645207.91</v>
      </c>
      <c r="G24" s="50" t="e">
        <f>#REF!+#REF!+#REF!</f>
        <v>#REF!</v>
      </c>
      <c r="H24" s="50" t="e">
        <f>#REF!+#REF!+#REF!</f>
        <v>#REF!</v>
      </c>
      <c r="I24" s="15" t="e">
        <f>#REF!+#REF!+#REF!</f>
        <v>#REF!</v>
      </c>
    </row>
    <row r="25" spans="1:9" ht="15.75">
      <c r="A25" s="51">
        <v>454</v>
      </c>
      <c r="B25" s="51" t="s">
        <v>834</v>
      </c>
      <c r="C25" s="50" t="e">
        <f>#REF!</f>
        <v>#REF!</v>
      </c>
      <c r="D25" s="691">
        <f>fplan!I970</f>
        <v>5472400</v>
      </c>
      <c r="E25" s="691">
        <f>fplan!J970</f>
        <v>5472400</v>
      </c>
      <c r="F25" s="691">
        <f>fplan!K970</f>
        <v>2749954.38</v>
      </c>
      <c r="G25" s="50" t="e">
        <f>#REF!</f>
        <v>#REF!</v>
      </c>
      <c r="H25" s="50" t="e">
        <f>#REF!</f>
        <v>#REF!</v>
      </c>
      <c r="I25" s="15" t="e">
        <f>#REF!</f>
        <v>#REF!</v>
      </c>
    </row>
    <row r="26" spans="1:9" ht="15.75">
      <c r="A26" s="80">
        <v>46</v>
      </c>
      <c r="B26" s="80" t="s">
        <v>307</v>
      </c>
      <c r="C26" s="49" t="e">
        <f>C27</f>
        <v>#REF!</v>
      </c>
      <c r="D26" s="573">
        <f>D27+D28+D29</f>
        <v>268416618</v>
      </c>
      <c r="E26" s="573">
        <f>E27+E28+E29</f>
        <v>270916618</v>
      </c>
      <c r="F26" s="683">
        <f>F27+F28+F29</f>
        <v>95395802.76999998</v>
      </c>
      <c r="G26" s="49" t="e">
        <f>G27+G29</f>
        <v>#REF!</v>
      </c>
      <c r="H26" s="49" t="e">
        <f>H27</f>
        <v>#REF!</v>
      </c>
      <c r="I26" s="14" t="e">
        <f>I27</f>
        <v>#REF!</v>
      </c>
    </row>
    <row r="27" spans="1:9" ht="15.75">
      <c r="A27" s="51">
        <v>463</v>
      </c>
      <c r="B27" s="51" t="s">
        <v>856</v>
      </c>
      <c r="C27" s="50" t="e">
        <f>#REF!+#REF!+#REF!+#REF!</f>
        <v>#REF!</v>
      </c>
      <c r="D27" s="691">
        <f>fplan!I273+fplan!I282+fplan!I382</f>
        <v>188179200</v>
      </c>
      <c r="E27" s="691">
        <f>SUMIF(fplan!$G$5:$G$1016,463000,fplan!$I$5:$I$1016)</f>
        <v>188179200</v>
      </c>
      <c r="F27" s="691">
        <f>fplan!K273+fplan!K282+fplan!K382</f>
        <v>69253991.18999998</v>
      </c>
      <c r="G27" s="50" t="e">
        <f>#REF!+#REF!+#REF!+#REF!</f>
        <v>#REF!</v>
      </c>
      <c r="H27" s="50" t="e">
        <f>#REF!+#REF!+#REF!+#REF!</f>
        <v>#REF!</v>
      </c>
      <c r="I27" s="15" t="e">
        <f>#REF!+#REF!+#REF!+#REF!</f>
        <v>#REF!</v>
      </c>
    </row>
    <row r="28" spans="1:9" ht="15.75">
      <c r="A28" s="51">
        <v>464</v>
      </c>
      <c r="B28" s="51" t="s">
        <v>644</v>
      </c>
      <c r="C28" s="50"/>
      <c r="D28" s="691">
        <f>fplan!I357+fplan!I928</f>
        <v>46000000</v>
      </c>
      <c r="E28" s="684">
        <f>fplan!J357+fplan!J928</f>
        <v>48500000</v>
      </c>
      <c r="F28" s="691">
        <f>fplan!K357+fplan!K928</f>
        <v>11200458.49</v>
      </c>
      <c r="G28" s="50"/>
      <c r="H28" s="50"/>
      <c r="I28" s="15"/>
    </row>
    <row r="29" spans="1:9" ht="15.75">
      <c r="A29" s="51">
        <v>465</v>
      </c>
      <c r="B29" s="45" t="s">
        <v>384</v>
      </c>
      <c r="C29" s="50"/>
      <c r="D29" s="691">
        <f>fplan!I28+fplan!I81+fplan!I124+fplan!I148+fplan!I202+fplan!I303+fplan!I341+fplan!I444+fplan!I529+fplan!I608+fplan!I708+fplan!I769+fplan!I794+fplan!I846</f>
        <v>34237418</v>
      </c>
      <c r="E29" s="691">
        <f>fplan!J28+fplan!J81+fplan!J124+fplan!J148+fplan!J202+fplan!J303+fplan!J341+fplan!J444+fplan!J529+fplan!J608+fplan!J708+fplan!J769+fplan!J794+fplan!J846</f>
        <v>34237418</v>
      </c>
      <c r="F29" s="691">
        <f>fplan!K28+fplan!K81+fplan!K124+fplan!K148+fplan!K202+fplan!K303+fplan!K341+fplan!K444+fplan!K529+fplan!K608+fplan!K708+fplan!K769+fplan!K794+fplan!K846</f>
        <v>14941353.089999998</v>
      </c>
      <c r="G29" s="50" t="e">
        <f>#REF!+#REF!+#REF!+#REF!+#REF!+#REF!+#REF!+#REF!+#REF!+#REF!+#REF!+#REF!+#REF!</f>
        <v>#REF!</v>
      </c>
      <c r="H29" s="50"/>
      <c r="I29" s="15"/>
    </row>
    <row r="30" spans="1:9" ht="19.5" customHeight="1">
      <c r="A30" s="80">
        <v>47</v>
      </c>
      <c r="B30" s="80" t="s">
        <v>857</v>
      </c>
      <c r="C30" s="49" t="e">
        <f aca="true" t="shared" si="2" ref="C30:I30">C31</f>
        <v>#REF!</v>
      </c>
      <c r="D30" s="573">
        <f>D31</f>
        <v>18120000</v>
      </c>
      <c r="E30" s="573">
        <f>E31</f>
        <v>18140000</v>
      </c>
      <c r="F30" s="690">
        <f>F31</f>
        <v>8145605.8100000005</v>
      </c>
      <c r="G30" s="49" t="e">
        <f t="shared" si="2"/>
        <v>#REF!</v>
      </c>
      <c r="H30" s="49" t="e">
        <f t="shared" si="2"/>
        <v>#REF!</v>
      </c>
      <c r="I30" s="14" t="e">
        <f t="shared" si="2"/>
        <v>#REF!</v>
      </c>
    </row>
    <row r="31" spans="1:9" ht="15.75">
      <c r="A31" s="51">
        <v>472</v>
      </c>
      <c r="B31" s="51" t="s">
        <v>810</v>
      </c>
      <c r="C31" s="50" t="e">
        <f>#REF!+#REF!+#REF!+#REF!</f>
        <v>#REF!</v>
      </c>
      <c r="D31" s="691">
        <f>fplan!I349+fplan!I366+fplan!I374+fplan!I395+fplan!I531+fplan!I610+fplan!I305</f>
        <v>18120000</v>
      </c>
      <c r="E31" s="684">
        <f>fplan!J305+fplan!J349+fplan!J366+fplan!J374+fplan!J395+fplan!J531+fplan!J610</f>
        <v>18140000</v>
      </c>
      <c r="F31" s="691">
        <f>fplan!K349+fplan!K366+fplan!K374+fplan!K395+fplan!K531+fplan!K610+fplan!K305</f>
        <v>8145605.8100000005</v>
      </c>
      <c r="G31" s="50" t="e">
        <f>#REF!+#REF!+#REF!+#REF!</f>
        <v>#REF!</v>
      </c>
      <c r="H31" s="50" t="e">
        <f>#REF!+#REF!+#REF!+#REF!</f>
        <v>#REF!</v>
      </c>
      <c r="I31" s="15" t="e">
        <f>#REF!+#REF!+#REF!+#REF!</f>
        <v>#REF!</v>
      </c>
    </row>
    <row r="32" spans="1:9" ht="18.75" customHeight="1">
      <c r="A32" s="80">
        <v>48</v>
      </c>
      <c r="B32" s="80" t="s">
        <v>811</v>
      </c>
      <c r="C32" s="49" t="e">
        <f>SUM(C33:C36)</f>
        <v>#REF!</v>
      </c>
      <c r="D32" s="573">
        <f>D33+D34+D35+D36</f>
        <v>57983000</v>
      </c>
      <c r="E32" s="573">
        <f>E33+E34+E35+E36</f>
        <v>64906571.34</v>
      </c>
      <c r="F32" s="690">
        <f>F33+F34+F35+F36</f>
        <v>42477675.73</v>
      </c>
      <c r="G32" s="49" t="e">
        <f>G33+G34+G35+G36</f>
        <v>#REF!</v>
      </c>
      <c r="H32" s="49" t="e">
        <f>SUM(H33:H36)</f>
        <v>#REF!</v>
      </c>
      <c r="I32" s="14" t="e">
        <f>SUM(I33:I36)</f>
        <v>#REF!</v>
      </c>
    </row>
    <row r="33" spans="1:9" ht="16.5" customHeight="1">
      <c r="A33" s="79">
        <v>481</v>
      </c>
      <c r="B33" s="51" t="s">
        <v>224</v>
      </c>
      <c r="C33" s="50" t="e">
        <f>#REF!+#REF!+#REF!+#REF!</f>
        <v>#REF!</v>
      </c>
      <c r="D33" s="691">
        <f>fplan!I30+fplan!I36+fplan!I207+fplan!I400+fplan!I996+fplan!I1007</f>
        <v>42028000</v>
      </c>
      <c r="E33" s="684">
        <f>fplan!J31+fplan!J38+fplan!J207+fplan!J400+fplan!J996+fplan!J1007</f>
        <v>44505804.42</v>
      </c>
      <c r="F33" s="691">
        <f>fplan!K36+fplan!K207+fplan!K400+fplan!K996+fplan!K1007</f>
        <v>27419760.889999997</v>
      </c>
      <c r="G33" s="50" t="e">
        <f>#REF!+#REF!+#REF!+#REF!</f>
        <v>#REF!</v>
      </c>
      <c r="H33" s="50" t="e">
        <f>#REF!+#REF!+#REF!+#REF!</f>
        <v>#REF!</v>
      </c>
      <c r="I33" s="15" t="e">
        <f>#REF!+#REF!+#REF!+#REF!</f>
        <v>#REF!</v>
      </c>
    </row>
    <row r="34" spans="1:9" ht="15.75">
      <c r="A34" s="79">
        <v>482</v>
      </c>
      <c r="B34" s="51" t="s">
        <v>859</v>
      </c>
      <c r="C34" s="50" t="e">
        <f>#REF!+#REF!+#REF!+#REF!+#REF!</f>
        <v>#REF!</v>
      </c>
      <c r="D34" s="691">
        <f>fplan!I204+fplan!I446+fplan!I848+fplan!I875+fplan!I891+fplan!I904</f>
        <v>905000</v>
      </c>
      <c r="E34" s="691">
        <f>fplan!J204+fplan!J446+fplan!J848+fplan!J875+fplan!J891+fplan!J904</f>
        <v>905000</v>
      </c>
      <c r="F34" s="691">
        <f>fplan!K204+fplan!K446+fplan!K848+fplan!K875+fplan!K891+fplan!K904</f>
        <v>53831</v>
      </c>
      <c r="G34" s="50" t="e">
        <f>#REF!+#REF!+#REF!+#REF!+#REF!+#REF!</f>
        <v>#REF!</v>
      </c>
      <c r="H34" s="50" t="e">
        <f>#REF!+#REF!+#REF!+#REF!+#REF!</f>
        <v>#REF!</v>
      </c>
      <c r="I34" s="15" t="e">
        <f>#REF!+#REF!+#REF!+#REF!+#REF!</f>
        <v>#REF!</v>
      </c>
    </row>
    <row r="35" spans="1:9" ht="15.75">
      <c r="A35" s="79">
        <v>483</v>
      </c>
      <c r="B35" s="51" t="s">
        <v>861</v>
      </c>
      <c r="C35" s="50" t="e">
        <f>#REF!+#REF!+#REF!+#REF!</f>
        <v>#REF!</v>
      </c>
      <c r="D35" s="691">
        <f>fplan!I209+fplan!I449+fplan!I533+fplan!I612+fplan!I712+fplan!I771+fplan!I852</f>
        <v>15000000</v>
      </c>
      <c r="E35" s="684">
        <f>fplan!J209+fplan!J449+fplan!J533+fplan!J612+fplan!J712+fplan!J771+fplan!J852</f>
        <v>14895000</v>
      </c>
      <c r="F35" s="691">
        <f>fplan!K209+fplan!K449+fplan!K533+fplan!K612+fplan!K712+fplan!K771+fplan!K852</f>
        <v>10450766.92</v>
      </c>
      <c r="G35" s="50" t="e">
        <f>#REF!+#REF!+#REF!+#REF!</f>
        <v>#REF!</v>
      </c>
      <c r="H35" s="50" t="e">
        <f>#REF!+#REF!+#REF!+#REF!</f>
        <v>#REF!</v>
      </c>
      <c r="I35" s="15" t="e">
        <f>#REF!+#REF!+#REF!+#REF!</f>
        <v>#REF!</v>
      </c>
    </row>
    <row r="36" spans="1:9" ht="31.5">
      <c r="A36" s="79">
        <v>484</v>
      </c>
      <c r="B36" s="51" t="s">
        <v>337</v>
      </c>
      <c r="C36" s="50" t="e">
        <f>#REF!+#REF!</f>
        <v>#REF!</v>
      </c>
      <c r="D36" s="691">
        <f>fplan!I83+fplan!I211</f>
        <v>50000</v>
      </c>
      <c r="E36" s="684">
        <f>fplan!J83+fplan!J211</f>
        <v>4600766.92</v>
      </c>
      <c r="F36" s="691">
        <f>fplan!K83+fplan!K211</f>
        <v>4553316.92</v>
      </c>
      <c r="G36" s="50" t="e">
        <f>#REF!+#REF!</f>
        <v>#REF!</v>
      </c>
      <c r="H36" s="50" t="e">
        <f>#REF!+#REF!</f>
        <v>#REF!</v>
      </c>
      <c r="I36" s="15" t="e">
        <f>#REF!+#REF!</f>
        <v>#REF!</v>
      </c>
    </row>
    <row r="37" spans="1:9" ht="19.5" customHeight="1">
      <c r="A37" s="80">
        <v>49</v>
      </c>
      <c r="B37" s="80" t="s">
        <v>867</v>
      </c>
      <c r="C37" s="49" t="e">
        <f aca="true" t="shared" si="3" ref="C37:I37">C38</f>
        <v>#REF!</v>
      </c>
      <c r="D37" s="573">
        <f>D38</f>
        <v>20000000</v>
      </c>
      <c r="E37" s="573">
        <f t="shared" si="3"/>
        <v>9280793.66</v>
      </c>
      <c r="F37" s="690">
        <f t="shared" si="3"/>
        <v>0</v>
      </c>
      <c r="G37" s="49" t="e">
        <f t="shared" si="3"/>
        <v>#REF!</v>
      </c>
      <c r="H37" s="49" t="e">
        <f t="shared" si="3"/>
        <v>#REF!</v>
      </c>
      <c r="I37" s="14" t="e">
        <f t="shared" si="3"/>
        <v>#REF!</v>
      </c>
    </row>
    <row r="38" spans="1:9" ht="15.75">
      <c r="A38" s="51">
        <v>499</v>
      </c>
      <c r="B38" s="51" t="s">
        <v>803</v>
      </c>
      <c r="C38" s="50" t="e">
        <f>#REF!</f>
        <v>#REF!</v>
      </c>
      <c r="D38" s="691">
        <f>SUMIF(fplan!$G$5:$G$1016,499000,fplan!$I$5:$I$1016)</f>
        <v>20000000</v>
      </c>
      <c r="E38" s="684">
        <f>fplan!J213</f>
        <v>9280793.66</v>
      </c>
      <c r="F38" s="691">
        <f>fplan!K213</f>
        <v>0</v>
      </c>
      <c r="G38" s="50" t="e">
        <f>#REF!</f>
        <v>#REF!</v>
      </c>
      <c r="H38" s="50" t="e">
        <f>#REF!</f>
        <v>#REF!</v>
      </c>
      <c r="I38" s="15" t="e">
        <f>#REF!</f>
        <v>#REF!</v>
      </c>
    </row>
    <row r="39" spans="1:9" ht="18" customHeight="1">
      <c r="A39" s="80">
        <v>5</v>
      </c>
      <c r="B39" s="195" t="s">
        <v>815</v>
      </c>
      <c r="C39" s="49" t="e">
        <f>C40+#REF!+C44</f>
        <v>#REF!</v>
      </c>
      <c r="D39" s="690">
        <f>D40+D44</f>
        <v>209510000</v>
      </c>
      <c r="E39" s="690">
        <f>E40+E44</f>
        <v>211528440</v>
      </c>
      <c r="F39" s="690">
        <f>F40+F44</f>
        <v>16704834.83</v>
      </c>
      <c r="G39" s="49" t="e">
        <f>G40+#REF!+G44</f>
        <v>#REF!</v>
      </c>
      <c r="H39" s="49" t="e">
        <f>H40+#REF!+H44</f>
        <v>#REF!</v>
      </c>
      <c r="I39" s="30" t="e">
        <f>I40+#REF!+I44</f>
        <v>#REF!</v>
      </c>
    </row>
    <row r="40" spans="1:9" ht="15.75">
      <c r="A40" s="80">
        <v>51</v>
      </c>
      <c r="B40" s="80" t="s">
        <v>812</v>
      </c>
      <c r="C40" s="49" t="e">
        <f>SUM(C41:C43)</f>
        <v>#REF!</v>
      </c>
      <c r="D40" s="573">
        <f>D41+D42+D43</f>
        <v>163510000</v>
      </c>
      <c r="E40" s="573">
        <f>E41+E42+E43</f>
        <v>164928440</v>
      </c>
      <c r="F40" s="690">
        <f>F41+F42+F43</f>
        <v>16704834.83</v>
      </c>
      <c r="G40" s="49" t="e">
        <f>G41+G42+#REF!+G43</f>
        <v>#REF!</v>
      </c>
      <c r="H40" s="49" t="e">
        <f>SUM(H41:H43)</f>
        <v>#REF!</v>
      </c>
      <c r="I40" s="14" t="e">
        <f>SUM(I41:I43)</f>
        <v>#REF!</v>
      </c>
    </row>
    <row r="41" spans="1:14" ht="15.75">
      <c r="A41" s="682">
        <v>511</v>
      </c>
      <c r="B41" s="51" t="s">
        <v>802</v>
      </c>
      <c r="C41" s="50" t="e">
        <f>#REF!+#REF!+#REF!+#REF!+#REF!+#REF!+#REF!+#REF!+#REF!</f>
        <v>#REF!</v>
      </c>
      <c r="D41" s="691">
        <f>fplan!I85+fplan!I217+fplan!I464+fplan!I535+fplan!I773+fplan!I893+fplan!I950</f>
        <v>157790000</v>
      </c>
      <c r="E41" s="684">
        <f>fplan!J85+fplan!J217+fplan!J464+fplan!J535+fplan!J773+fplan!J893+fplan!J950</f>
        <v>152790000</v>
      </c>
      <c r="F41" s="691">
        <f>fplan!K85+fplan!K217+fplan!K464+fplan!K535+fplan!K773+fplan!K893+fplan!K950</f>
        <v>12546997.95</v>
      </c>
      <c r="G41" s="50" t="e">
        <f>#REF!+#REF!+#REF!+#REF!+#REF!+#REF!+#REF!+#REF!+#REF!</f>
        <v>#REF!</v>
      </c>
      <c r="H41" s="50" t="e">
        <f>#REF!+#REF!</f>
        <v>#REF!</v>
      </c>
      <c r="I41" s="15" t="e">
        <f>#REF!+#REF!+#REF!+#REF!+#REF!+#REF!+#REF!+#REF!+#REF!</f>
        <v>#REF!</v>
      </c>
      <c r="M41" s="571"/>
      <c r="N41" s="571"/>
    </row>
    <row r="42" spans="1:13" ht="15.75">
      <c r="A42" s="682">
        <v>512</v>
      </c>
      <c r="B42" s="51" t="s">
        <v>796</v>
      </c>
      <c r="C42" s="50" t="e">
        <f>#REF!+#REF!+#REF!+#REF!+#REF!+#REF!+#REF!+#REF!+#REF!+#REF!</f>
        <v>#REF!</v>
      </c>
      <c r="D42" s="691">
        <f>fplan!I96+fplan!I219+fplan!I451+fplan!I466+fplan!I537+fplan!I614+fplan!I714+fplan!I854</f>
        <v>5110000</v>
      </c>
      <c r="E42" s="684">
        <f>fplan!J96+fplan!J219+fplan!J451+fplan!J466+fplan!J537+fplan!J614+fplan!J714+fplan!J854</f>
        <v>11528440</v>
      </c>
      <c r="F42" s="691">
        <f>fplan!K96+fplan!K219+fplan!K451+fplan!K466+fplan!K537+fplan!K614+fplan!K714+fplan!K854</f>
        <v>4070135.08</v>
      </c>
      <c r="G42" s="50" t="e">
        <f>#REF!+#REF!+#REF!+#REF!+#REF!+#REF!+#REF!+#REF!+#REF!+#REF!</f>
        <v>#REF!</v>
      </c>
      <c r="H42" s="50" t="e">
        <f>#REF!+#REF!+#REF!</f>
        <v>#REF!</v>
      </c>
      <c r="I42" s="15" t="e">
        <f>#REF!+#REF!+#REF!+#REF!+#REF!+#REF!+#REF!+#REF!+#REF!+#REF!</f>
        <v>#REF!</v>
      </c>
      <c r="M42" s="571"/>
    </row>
    <row r="43" spans="1:13" ht="15.75">
      <c r="A43" s="682">
        <v>515</v>
      </c>
      <c r="B43" s="51" t="s">
        <v>858</v>
      </c>
      <c r="C43" s="50" t="e">
        <f>#REF!</f>
        <v>#REF!</v>
      </c>
      <c r="D43" s="691">
        <f>fplan!I539+fplan!I717+fplan!I775</f>
        <v>610000</v>
      </c>
      <c r="E43" s="691">
        <f>SUMIF(fplan!$G$5:$G$1016,515000,fplan!$I$5:$I$1016)</f>
        <v>610000</v>
      </c>
      <c r="F43" s="691">
        <f>fplan!K539+fplan!K717+fplan!K775</f>
        <v>87701.8</v>
      </c>
      <c r="G43" s="50" t="e">
        <f>#REF!+#REF!</f>
        <v>#REF!</v>
      </c>
      <c r="H43" s="50" t="e">
        <f>#REF!</f>
        <v>#REF!</v>
      </c>
      <c r="I43" s="15" t="e">
        <f>#REF!</f>
        <v>#REF!</v>
      </c>
      <c r="M43" s="571"/>
    </row>
    <row r="44" spans="1:13" ht="15.75">
      <c r="A44" s="80">
        <v>54</v>
      </c>
      <c r="B44" s="80" t="s">
        <v>868</v>
      </c>
      <c r="C44" s="49" t="e">
        <f>SUM(C45:C45)</f>
        <v>#REF!</v>
      </c>
      <c r="D44" s="573">
        <f>D45</f>
        <v>46000000</v>
      </c>
      <c r="E44" s="573">
        <f>E45</f>
        <v>46600000</v>
      </c>
      <c r="F44" s="690">
        <f>F45</f>
        <v>0</v>
      </c>
      <c r="G44" s="49">
        <f>F45</f>
        <v>0</v>
      </c>
      <c r="H44" s="49" t="e">
        <f>SUM(H45:H45)</f>
        <v>#REF!</v>
      </c>
      <c r="I44" s="14" t="e">
        <f>SUM(I45:I45)</f>
        <v>#REF!</v>
      </c>
      <c r="M44" s="571"/>
    </row>
    <row r="45" spans="1:13" ht="15.75">
      <c r="A45" s="682">
        <v>541</v>
      </c>
      <c r="B45" s="51" t="s">
        <v>865</v>
      </c>
      <c r="C45" s="50" t="e">
        <f>#REF!</f>
        <v>#REF!</v>
      </c>
      <c r="D45" s="691">
        <f>fplan!I98</f>
        <v>46000000</v>
      </c>
      <c r="E45" s="691">
        <f>fplan!J856+fplan!J98</f>
        <v>46600000</v>
      </c>
      <c r="F45" s="691">
        <f>fplan!K98+fplan!K856</f>
        <v>0</v>
      </c>
      <c r="G45" s="50" t="e">
        <f>SUMIF(#REF!,541,#REF!)</f>
        <v>#REF!</v>
      </c>
      <c r="H45" s="50" t="e">
        <f>#REF!</f>
        <v>#REF!</v>
      </c>
      <c r="I45" s="15" t="e">
        <f>#REF!</f>
        <v>#REF!</v>
      </c>
      <c r="M45" s="571"/>
    </row>
    <row r="46" spans="1:13" ht="27.75" customHeight="1">
      <c r="A46" s="80">
        <v>6</v>
      </c>
      <c r="B46" s="195" t="s">
        <v>875</v>
      </c>
      <c r="C46" s="49" t="e">
        <f aca="true" t="shared" si="4" ref="C46:I46">C47</f>
        <v>#REF!</v>
      </c>
      <c r="D46" s="573">
        <f aca="true" t="shared" si="5" ref="D46:F47">D47</f>
        <v>35000000</v>
      </c>
      <c r="E46" s="573">
        <f t="shared" si="5"/>
        <v>33250000</v>
      </c>
      <c r="F46" s="690">
        <f t="shared" si="5"/>
        <v>17552357.92</v>
      </c>
      <c r="G46" s="49">
        <f t="shared" si="4"/>
        <v>17552357.92</v>
      </c>
      <c r="H46" s="49" t="e">
        <f t="shared" si="4"/>
        <v>#REF!</v>
      </c>
      <c r="I46" s="30" t="e">
        <f t="shared" si="4"/>
        <v>#REF!</v>
      </c>
      <c r="M46" s="571"/>
    </row>
    <row r="47" spans="1:9" ht="17.25" customHeight="1">
      <c r="A47" s="80">
        <v>61</v>
      </c>
      <c r="B47" s="80" t="s">
        <v>870</v>
      </c>
      <c r="C47" s="49" t="e">
        <f>SUM(C48:C48)</f>
        <v>#REF!</v>
      </c>
      <c r="D47" s="573">
        <f t="shared" si="5"/>
        <v>35000000</v>
      </c>
      <c r="E47" s="573">
        <f t="shared" si="5"/>
        <v>33250000</v>
      </c>
      <c r="F47" s="690">
        <f t="shared" si="5"/>
        <v>17552357.92</v>
      </c>
      <c r="G47" s="49">
        <f>G48</f>
        <v>17552357.92</v>
      </c>
      <c r="H47" s="49" t="e">
        <f>SUM(H48:H48)</f>
        <v>#REF!</v>
      </c>
      <c r="I47" s="14" t="e">
        <f>SUM(I48:I48)</f>
        <v>#REF!</v>
      </c>
    </row>
    <row r="48" spans="1:9" ht="15.75">
      <c r="A48" s="682">
        <v>611</v>
      </c>
      <c r="B48" s="51" t="s">
        <v>869</v>
      </c>
      <c r="C48" s="50" t="e">
        <f>#REF!</f>
        <v>#REF!</v>
      </c>
      <c r="D48" s="691">
        <f>fplan!I231</f>
        <v>35000000</v>
      </c>
      <c r="E48" s="684">
        <f>fplan!J232</f>
        <v>33250000</v>
      </c>
      <c r="F48" s="691">
        <f>fplan!K231</f>
        <v>17552357.92</v>
      </c>
      <c r="G48" s="50">
        <f>F48</f>
        <v>17552357.92</v>
      </c>
      <c r="H48" s="50" t="e">
        <f>#REF!</f>
        <v>#REF!</v>
      </c>
      <c r="I48" s="15" t="e">
        <f>#REF!</f>
        <v>#REF!</v>
      </c>
    </row>
  </sheetData>
  <sheetProtection deleteColumns="0"/>
  <mergeCells count="1">
    <mergeCell ref="A1:H1"/>
  </mergeCells>
  <printOptions horizontalCentered="1"/>
  <pageMargins left="0.3937007874015748" right="0.3937007874015748" top="0.3937007874015748" bottom="0.3937007874015748" header="0.1968503937007874" footer="0.1968503937007874"/>
  <pageSetup firstPageNumber="4" useFirstPageNumber="1" fitToHeight="27" horizontalDpi="600" verticalDpi="600" orientation="portrait" paperSize="9" scale="85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</sheetPr>
  <dimension ref="A1:O1931"/>
  <sheetViews>
    <sheetView zoomScalePageLayoutView="0" workbookViewId="0" topLeftCell="B1">
      <selection activeCell="I2" sqref="I2"/>
    </sheetView>
  </sheetViews>
  <sheetFormatPr defaultColWidth="9.140625" defaultRowHeight="12.75"/>
  <cols>
    <col min="1" max="1" width="2.28125" style="0" customWidth="1"/>
    <col min="2" max="2" width="3.28125" style="0" customWidth="1"/>
    <col min="3" max="3" width="7.00390625" style="222" customWidth="1"/>
    <col min="4" max="4" width="10.140625" style="282" customWidth="1"/>
    <col min="5" max="5" width="4.57421875" style="27" customWidth="1"/>
    <col min="6" max="6" width="5.8515625" style="197" hidden="1" customWidth="1"/>
    <col min="7" max="7" width="8.421875" style="550" customWidth="1"/>
    <col min="8" max="8" width="47.00390625" style="0" customWidth="1"/>
    <col min="9" max="9" width="18.00390625" style="514" customWidth="1"/>
    <col min="10" max="10" width="17.00390625" style="0" customWidth="1"/>
    <col min="11" max="11" width="17.7109375" style="0" customWidth="1"/>
    <col min="12" max="12" width="17.28125" style="518" customWidth="1"/>
    <col min="13" max="13" width="15.00390625" style="0" bestFit="1" customWidth="1"/>
    <col min="14" max="14" width="12.7109375" style="0" bestFit="1" customWidth="1"/>
  </cols>
  <sheetData>
    <row r="1" spans="1:12" s="22" customFormat="1" ht="15.75" customHeight="1">
      <c r="A1" s="852" t="s">
        <v>205</v>
      </c>
      <c r="B1" s="852"/>
      <c r="C1" s="852"/>
      <c r="D1" s="852"/>
      <c r="E1" s="852"/>
      <c r="F1" s="852"/>
      <c r="G1" s="852"/>
      <c r="H1" s="852"/>
      <c r="I1" s="852"/>
      <c r="J1" s="852"/>
      <c r="K1" s="852"/>
      <c r="L1" s="517"/>
    </row>
    <row r="2" spans="1:11" ht="156.75" customHeight="1">
      <c r="A2" s="552" t="s">
        <v>788</v>
      </c>
      <c r="B2" s="552" t="s">
        <v>789</v>
      </c>
      <c r="C2" s="553" t="s">
        <v>566</v>
      </c>
      <c r="D2" s="554" t="s">
        <v>179</v>
      </c>
      <c r="E2" s="555" t="s">
        <v>790</v>
      </c>
      <c r="F2" s="556" t="s">
        <v>787</v>
      </c>
      <c r="G2" s="231" t="s">
        <v>876</v>
      </c>
      <c r="H2" s="232" t="s">
        <v>877</v>
      </c>
      <c r="I2" s="509" t="s">
        <v>20</v>
      </c>
      <c r="J2" s="428" t="s">
        <v>925</v>
      </c>
      <c r="K2" s="428" t="s">
        <v>204</v>
      </c>
    </row>
    <row r="3" spans="1:12" s="227" customFormat="1" ht="12.75" thickBot="1">
      <c r="A3" s="233">
        <v>1</v>
      </c>
      <c r="B3" s="233">
        <v>2</v>
      </c>
      <c r="C3" s="234" t="s">
        <v>321</v>
      </c>
      <c r="D3" s="266">
        <v>4</v>
      </c>
      <c r="E3" s="234" t="s">
        <v>833</v>
      </c>
      <c r="F3" s="235" t="s">
        <v>221</v>
      </c>
      <c r="G3" s="236" t="s">
        <v>221</v>
      </c>
      <c r="H3" s="237">
        <v>7</v>
      </c>
      <c r="I3" s="615">
        <v>8</v>
      </c>
      <c r="J3" s="225">
        <v>9</v>
      </c>
      <c r="K3" s="225">
        <v>10</v>
      </c>
      <c r="L3" s="519"/>
    </row>
    <row r="4" spans="1:12" s="22" customFormat="1" ht="18.75" customHeight="1" thickBot="1" thickTop="1">
      <c r="A4" s="104">
        <v>1</v>
      </c>
      <c r="B4" s="104">
        <v>1</v>
      </c>
      <c r="C4" s="210">
        <v>91727</v>
      </c>
      <c r="D4" s="267"/>
      <c r="E4" s="105"/>
      <c r="F4" s="196"/>
      <c r="G4" s="525"/>
      <c r="H4" s="109" t="s">
        <v>308</v>
      </c>
      <c r="I4" s="430"/>
      <c r="J4" s="108"/>
      <c r="K4" s="430"/>
      <c r="L4" s="517"/>
    </row>
    <row r="5" spans="1:12" s="22" customFormat="1" ht="12.75" customHeight="1" thickTop="1">
      <c r="A5" s="100"/>
      <c r="B5" s="283"/>
      <c r="C5" s="284"/>
      <c r="D5" s="285" t="s">
        <v>528</v>
      </c>
      <c r="E5" s="286"/>
      <c r="F5" s="287"/>
      <c r="G5" s="526"/>
      <c r="H5" s="288" t="s">
        <v>527</v>
      </c>
      <c r="I5" s="431"/>
      <c r="J5" s="289"/>
      <c r="K5" s="431"/>
      <c r="L5" s="517"/>
    </row>
    <row r="6" spans="1:12" s="22" customFormat="1" ht="37.5" customHeight="1">
      <c r="A6" s="88"/>
      <c r="B6" s="88"/>
      <c r="C6" s="214"/>
      <c r="D6" s="274" t="s">
        <v>529</v>
      </c>
      <c r="E6" s="89"/>
      <c r="F6" s="137"/>
      <c r="G6" s="527"/>
      <c r="H6" s="125" t="s">
        <v>526</v>
      </c>
      <c r="I6" s="432"/>
      <c r="J6" s="39"/>
      <c r="K6" s="432"/>
      <c r="L6" s="517"/>
    </row>
    <row r="7" spans="1:12" s="22" customFormat="1" ht="12.75" customHeight="1">
      <c r="A7" s="88"/>
      <c r="B7" s="88"/>
      <c r="C7" s="214"/>
      <c r="D7" s="270"/>
      <c r="E7" s="89">
        <v>111</v>
      </c>
      <c r="F7" s="137"/>
      <c r="G7" s="527"/>
      <c r="H7" s="238" t="s">
        <v>243</v>
      </c>
      <c r="I7" s="433"/>
      <c r="J7" s="81"/>
      <c r="K7" s="433"/>
      <c r="L7" s="517"/>
    </row>
    <row r="8" spans="1:12" s="22" customFormat="1" ht="13.5">
      <c r="A8" s="88"/>
      <c r="B8" s="88"/>
      <c r="C8" s="214"/>
      <c r="D8" s="270"/>
      <c r="E8" s="89"/>
      <c r="F8" s="200" t="s">
        <v>259</v>
      </c>
      <c r="G8" s="54">
        <v>411000</v>
      </c>
      <c r="H8" s="20" t="s">
        <v>866</v>
      </c>
      <c r="I8" s="434">
        <f>I9</f>
        <v>4000000</v>
      </c>
      <c r="J8" s="434">
        <f>J9</f>
        <v>4000000</v>
      </c>
      <c r="K8" s="434">
        <f>K9</f>
        <v>1758448.32</v>
      </c>
      <c r="L8" s="517"/>
    </row>
    <row r="9" spans="1:12" ht="12.75">
      <c r="A9" s="86"/>
      <c r="B9" s="86"/>
      <c r="C9" s="214"/>
      <c r="D9" s="270"/>
      <c r="E9" s="87"/>
      <c r="F9" s="200" t="s">
        <v>260</v>
      </c>
      <c r="G9" s="35">
        <v>411100</v>
      </c>
      <c r="H9" s="4" t="s">
        <v>878</v>
      </c>
      <c r="I9" s="435">
        <v>4000000</v>
      </c>
      <c r="J9" s="435">
        <v>4000000</v>
      </c>
      <c r="K9" s="435">
        <v>1758448.32</v>
      </c>
      <c r="L9" s="517"/>
    </row>
    <row r="10" spans="1:12" s="22" customFormat="1" ht="13.5">
      <c r="A10" s="88"/>
      <c r="B10" s="88"/>
      <c r="C10" s="214"/>
      <c r="D10" s="270"/>
      <c r="E10" s="89"/>
      <c r="F10" s="200" t="s">
        <v>321</v>
      </c>
      <c r="G10" s="54">
        <v>412000</v>
      </c>
      <c r="H10" s="20" t="s">
        <v>801</v>
      </c>
      <c r="I10" s="434">
        <f>I11+I12+I13</f>
        <v>830000</v>
      </c>
      <c r="J10" s="434">
        <f>J11+J12+J13</f>
        <v>830000</v>
      </c>
      <c r="K10" s="434">
        <f>K11+K12+K13</f>
        <v>301121.37</v>
      </c>
      <c r="L10" s="517"/>
    </row>
    <row r="11" spans="1:12" ht="12.75">
      <c r="A11" s="86"/>
      <c r="B11" s="86"/>
      <c r="C11" s="214"/>
      <c r="D11" s="270"/>
      <c r="E11" s="87"/>
      <c r="F11" s="200" t="s">
        <v>832</v>
      </c>
      <c r="G11" s="35">
        <v>412100</v>
      </c>
      <c r="H11" s="4" t="s">
        <v>879</v>
      </c>
      <c r="I11" s="435">
        <v>500000</v>
      </c>
      <c r="J11" s="435">
        <v>500000</v>
      </c>
      <c r="K11" s="435">
        <v>201869.07</v>
      </c>
      <c r="L11" s="517"/>
    </row>
    <row r="12" spans="1:12" ht="12.75">
      <c r="A12" s="82"/>
      <c r="B12" s="82"/>
      <c r="C12" s="214"/>
      <c r="D12" s="270"/>
      <c r="E12" s="83"/>
      <c r="F12" s="200" t="s">
        <v>833</v>
      </c>
      <c r="G12" s="35">
        <v>412200</v>
      </c>
      <c r="H12" s="4" t="s">
        <v>880</v>
      </c>
      <c r="I12" s="435">
        <v>270000</v>
      </c>
      <c r="J12" s="435">
        <v>270000</v>
      </c>
      <c r="K12" s="435">
        <v>86635.49</v>
      </c>
      <c r="L12" s="517"/>
    </row>
    <row r="13" spans="1:12" ht="12.75">
      <c r="A13" s="82"/>
      <c r="B13" s="82"/>
      <c r="C13" s="214"/>
      <c r="D13" s="270"/>
      <c r="E13" s="83"/>
      <c r="F13" s="200" t="s">
        <v>221</v>
      </c>
      <c r="G13" s="35">
        <v>412300</v>
      </c>
      <c r="H13" s="4" t="s">
        <v>881</v>
      </c>
      <c r="I13" s="435">
        <v>60000</v>
      </c>
      <c r="J13" s="435">
        <v>60000</v>
      </c>
      <c r="K13" s="435">
        <v>12616.81</v>
      </c>
      <c r="L13" s="517"/>
    </row>
    <row r="14" spans="1:12" s="22" customFormat="1" ht="13.5">
      <c r="A14" s="88"/>
      <c r="B14" s="88"/>
      <c r="C14" s="214"/>
      <c r="D14" s="270"/>
      <c r="E14" s="89"/>
      <c r="F14" s="200" t="s">
        <v>261</v>
      </c>
      <c r="G14" s="54">
        <v>415000</v>
      </c>
      <c r="H14" s="239" t="s">
        <v>852</v>
      </c>
      <c r="I14" s="434">
        <f>I15</f>
        <v>40000</v>
      </c>
      <c r="J14" s="434">
        <f>J15</f>
        <v>40000</v>
      </c>
      <c r="K14" s="434">
        <f>K15</f>
        <v>27200</v>
      </c>
      <c r="L14" s="517"/>
    </row>
    <row r="15" spans="1:12" ht="12.75">
      <c r="A15" s="86"/>
      <c r="B15" s="86"/>
      <c r="C15" s="214"/>
      <c r="D15" s="270"/>
      <c r="E15" s="87"/>
      <c r="F15" s="200" t="s">
        <v>262</v>
      </c>
      <c r="G15" s="35">
        <v>415100</v>
      </c>
      <c r="H15" s="52" t="s">
        <v>852</v>
      </c>
      <c r="I15" s="435">
        <v>40000</v>
      </c>
      <c r="J15" s="435">
        <v>40000</v>
      </c>
      <c r="K15" s="435">
        <v>27200</v>
      </c>
      <c r="L15" s="517"/>
    </row>
    <row r="16" spans="1:12" s="24" customFormat="1" ht="13.5">
      <c r="A16" s="84"/>
      <c r="B16" s="84"/>
      <c r="C16" s="215"/>
      <c r="D16" s="208"/>
      <c r="E16" s="85"/>
      <c r="F16" s="200" t="s">
        <v>295</v>
      </c>
      <c r="G16" s="54">
        <v>417000</v>
      </c>
      <c r="H16" s="239" t="s">
        <v>319</v>
      </c>
      <c r="I16" s="434">
        <f>I17</f>
        <v>1500000</v>
      </c>
      <c r="J16" s="434">
        <f>J17</f>
        <v>1500000</v>
      </c>
      <c r="K16" s="434">
        <f>K17</f>
        <v>960000.28</v>
      </c>
      <c r="L16" s="517"/>
    </row>
    <row r="17" spans="1:12" ht="12.75">
      <c r="A17" s="86"/>
      <c r="B17" s="86"/>
      <c r="C17" s="214"/>
      <c r="D17" s="270"/>
      <c r="E17" s="87"/>
      <c r="F17" s="200" t="s">
        <v>296</v>
      </c>
      <c r="G17" s="35">
        <v>417100</v>
      </c>
      <c r="H17" s="52" t="s">
        <v>319</v>
      </c>
      <c r="I17" s="435">
        <v>1500000</v>
      </c>
      <c r="J17" s="435">
        <v>1500000</v>
      </c>
      <c r="K17" s="435">
        <v>960000.28</v>
      </c>
      <c r="L17" s="517"/>
    </row>
    <row r="18" spans="1:12" s="22" customFormat="1" ht="13.5">
      <c r="A18" s="88"/>
      <c r="B18" s="88"/>
      <c r="C18" s="214"/>
      <c r="D18" s="270"/>
      <c r="E18" s="89"/>
      <c r="F18" s="200" t="s">
        <v>297</v>
      </c>
      <c r="G18" s="54">
        <v>422000</v>
      </c>
      <c r="H18" s="20" t="s">
        <v>793</v>
      </c>
      <c r="I18" s="434">
        <f>I19+I20</f>
        <v>200000</v>
      </c>
      <c r="J18" s="434">
        <f>J19+J20</f>
        <v>200000</v>
      </c>
      <c r="K18" s="434">
        <f>K19+K20</f>
        <v>0</v>
      </c>
      <c r="L18" s="517"/>
    </row>
    <row r="19" spans="1:12" ht="12.75">
      <c r="A19" s="86"/>
      <c r="B19" s="86"/>
      <c r="C19" s="214"/>
      <c r="D19" s="270"/>
      <c r="E19" s="87"/>
      <c r="F19" s="200" t="s">
        <v>298</v>
      </c>
      <c r="G19" s="35">
        <v>422100</v>
      </c>
      <c r="H19" s="4" t="s">
        <v>899</v>
      </c>
      <c r="I19" s="435">
        <v>100000</v>
      </c>
      <c r="J19" s="435">
        <v>100000</v>
      </c>
      <c r="K19" s="435">
        <v>0</v>
      </c>
      <c r="L19" s="517"/>
    </row>
    <row r="20" spans="1:12" ht="12.75">
      <c r="A20" s="82"/>
      <c r="B20" s="82"/>
      <c r="C20" s="214"/>
      <c r="D20" s="270"/>
      <c r="E20" s="83"/>
      <c r="F20" s="200" t="s">
        <v>322</v>
      </c>
      <c r="G20" s="35">
        <v>422200</v>
      </c>
      <c r="H20" s="4" t="s">
        <v>900</v>
      </c>
      <c r="I20" s="435">
        <v>100000</v>
      </c>
      <c r="J20" s="435">
        <v>100000</v>
      </c>
      <c r="K20" s="435">
        <v>0</v>
      </c>
      <c r="L20" s="517"/>
    </row>
    <row r="21" spans="1:12" s="22" customFormat="1" ht="13.5">
      <c r="A21" s="88"/>
      <c r="B21" s="88"/>
      <c r="C21" s="214"/>
      <c r="D21" s="270"/>
      <c r="E21" s="89"/>
      <c r="F21" s="200" t="s">
        <v>299</v>
      </c>
      <c r="G21" s="54">
        <v>423000</v>
      </c>
      <c r="H21" s="20" t="s">
        <v>794</v>
      </c>
      <c r="I21" s="434">
        <f>I22+I23</f>
        <v>700000</v>
      </c>
      <c r="J21" s="434">
        <f>J22+J23</f>
        <v>700000</v>
      </c>
      <c r="K21" s="434">
        <f>K22+K23</f>
        <v>31190</v>
      </c>
      <c r="L21" s="517"/>
    </row>
    <row r="22" spans="1:12" ht="12.75">
      <c r="A22" s="86"/>
      <c r="B22" s="86"/>
      <c r="C22" s="214"/>
      <c r="D22" s="270"/>
      <c r="E22" s="87"/>
      <c r="F22" s="200" t="s">
        <v>300</v>
      </c>
      <c r="G22" s="35">
        <v>423600</v>
      </c>
      <c r="H22" s="4" t="s">
        <v>904</v>
      </c>
      <c r="I22" s="435">
        <v>400000</v>
      </c>
      <c r="J22" s="435">
        <v>400000</v>
      </c>
      <c r="K22" s="435">
        <v>31190</v>
      </c>
      <c r="L22" s="517"/>
    </row>
    <row r="23" spans="1:12" ht="12.75">
      <c r="A23" s="82"/>
      <c r="B23" s="82"/>
      <c r="C23" s="214"/>
      <c r="D23" s="270"/>
      <c r="E23" s="83"/>
      <c r="F23" s="200" t="s">
        <v>323</v>
      </c>
      <c r="G23" s="35">
        <v>423700</v>
      </c>
      <c r="H23" s="4" t="s">
        <v>905</v>
      </c>
      <c r="I23" s="435">
        <v>300000</v>
      </c>
      <c r="J23" s="435">
        <v>300000</v>
      </c>
      <c r="K23" s="435">
        <v>0</v>
      </c>
      <c r="L23" s="517"/>
    </row>
    <row r="24" spans="1:12" s="22" customFormat="1" ht="13.5">
      <c r="A24" s="88"/>
      <c r="B24" s="88"/>
      <c r="C24" s="214"/>
      <c r="D24" s="270"/>
      <c r="E24" s="89"/>
      <c r="F24" s="200" t="s">
        <v>324</v>
      </c>
      <c r="G24" s="528">
        <v>424000</v>
      </c>
      <c r="H24" s="20" t="s">
        <v>800</v>
      </c>
      <c r="I24" s="434">
        <f>I25</f>
        <v>200000</v>
      </c>
      <c r="J24" s="434">
        <f>J25</f>
        <v>200000</v>
      </c>
      <c r="K24" s="434">
        <f>K25</f>
        <v>195952</v>
      </c>
      <c r="L24" s="517"/>
    </row>
    <row r="25" spans="1:12" s="8" customFormat="1" ht="12.75">
      <c r="A25" s="86"/>
      <c r="B25" s="86"/>
      <c r="C25" s="214"/>
      <c r="D25" s="270"/>
      <c r="E25" s="87"/>
      <c r="F25" s="200" t="s">
        <v>301</v>
      </c>
      <c r="G25" s="524">
        <v>424200</v>
      </c>
      <c r="H25" s="4" t="s">
        <v>907</v>
      </c>
      <c r="I25" s="435">
        <v>200000</v>
      </c>
      <c r="J25" s="435">
        <v>200000</v>
      </c>
      <c r="K25" s="435">
        <v>195952</v>
      </c>
      <c r="L25" s="517"/>
    </row>
    <row r="26" spans="1:12" s="24" customFormat="1" ht="13.5">
      <c r="A26" s="84"/>
      <c r="B26" s="84"/>
      <c r="C26" s="215"/>
      <c r="D26" s="208"/>
      <c r="E26" s="85"/>
      <c r="F26" s="200" t="s">
        <v>945</v>
      </c>
      <c r="G26" s="528">
        <v>426000</v>
      </c>
      <c r="H26" s="23" t="s">
        <v>795</v>
      </c>
      <c r="I26" s="434">
        <f>I27</f>
        <v>400000</v>
      </c>
      <c r="J26" s="434">
        <f>J27</f>
        <v>400000</v>
      </c>
      <c r="K26" s="434">
        <f>K27</f>
        <v>0</v>
      </c>
      <c r="L26" s="517"/>
    </row>
    <row r="27" spans="1:12" ht="12.75">
      <c r="A27" s="86"/>
      <c r="B27" s="86"/>
      <c r="C27" s="214"/>
      <c r="D27" s="270"/>
      <c r="E27" s="87"/>
      <c r="F27" s="200" t="s">
        <v>946</v>
      </c>
      <c r="G27" s="524">
        <v>426100</v>
      </c>
      <c r="H27" s="5" t="s">
        <v>911</v>
      </c>
      <c r="I27" s="435">
        <v>400000</v>
      </c>
      <c r="J27" s="435">
        <v>400000</v>
      </c>
      <c r="K27" s="435">
        <v>0</v>
      </c>
      <c r="L27" s="517"/>
    </row>
    <row r="28" spans="1:12" s="22" customFormat="1" ht="12.75">
      <c r="A28" s="88"/>
      <c r="B28" s="88"/>
      <c r="C28" s="214"/>
      <c r="D28" s="270"/>
      <c r="E28" s="89"/>
      <c r="F28" s="200" t="s">
        <v>947</v>
      </c>
      <c r="G28" s="529" t="s">
        <v>381</v>
      </c>
      <c r="H28" s="41" t="s">
        <v>384</v>
      </c>
      <c r="I28" s="436">
        <f>I29</f>
        <v>520000</v>
      </c>
      <c r="J28" s="436">
        <f>J29</f>
        <v>520000</v>
      </c>
      <c r="K28" s="436">
        <f>K29</f>
        <v>224267.52</v>
      </c>
      <c r="L28" s="517"/>
    </row>
    <row r="29" spans="1:12" ht="12.75">
      <c r="A29" s="82"/>
      <c r="B29" s="82"/>
      <c r="C29" s="214"/>
      <c r="D29" s="270"/>
      <c r="E29" s="83"/>
      <c r="F29" s="200" t="s">
        <v>948</v>
      </c>
      <c r="G29" s="524" t="s">
        <v>382</v>
      </c>
      <c r="H29" s="5" t="s">
        <v>383</v>
      </c>
      <c r="I29" s="435">
        <v>520000</v>
      </c>
      <c r="J29" s="435">
        <v>520000</v>
      </c>
      <c r="K29" s="435">
        <v>224267.52</v>
      </c>
      <c r="L29" s="517"/>
    </row>
    <row r="30" spans="1:12" ht="13.5">
      <c r="A30" s="82"/>
      <c r="B30" s="82"/>
      <c r="C30" s="214"/>
      <c r="D30" s="270"/>
      <c r="E30" s="83"/>
      <c r="F30" s="200" t="s">
        <v>949</v>
      </c>
      <c r="G30" s="54">
        <v>481000</v>
      </c>
      <c r="H30" s="23" t="s">
        <v>224</v>
      </c>
      <c r="I30" s="436">
        <f>I31</f>
        <v>778000</v>
      </c>
      <c r="J30" s="436">
        <f>J31</f>
        <v>778000</v>
      </c>
      <c r="K30" s="436">
        <f>K31</f>
        <v>0</v>
      </c>
      <c r="L30" s="517"/>
    </row>
    <row r="31" spans="1:12" ht="12.75">
      <c r="A31" s="82"/>
      <c r="B31" s="82"/>
      <c r="C31" s="214"/>
      <c r="D31" s="270"/>
      <c r="E31" s="83"/>
      <c r="F31" s="200" t="s">
        <v>950</v>
      </c>
      <c r="G31" s="35">
        <v>481900</v>
      </c>
      <c r="H31" s="5" t="s">
        <v>225</v>
      </c>
      <c r="I31" s="435">
        <v>778000</v>
      </c>
      <c r="J31" s="435">
        <v>778000</v>
      </c>
      <c r="K31" s="435">
        <v>0</v>
      </c>
      <c r="L31" s="517"/>
    </row>
    <row r="32" spans="1:12" ht="13.5" thickBot="1">
      <c r="A32" s="474"/>
      <c r="B32" s="474"/>
      <c r="C32" s="475"/>
      <c r="D32" s="476"/>
      <c r="E32" s="477"/>
      <c r="F32" s="478"/>
      <c r="G32" s="479"/>
      <c r="H32" s="480" t="s">
        <v>850</v>
      </c>
      <c r="I32" s="481">
        <f>I30+I28+I26+I24+I21+I18+I16+I14+I10+I8</f>
        <v>9168000</v>
      </c>
      <c r="J32" s="481">
        <f>J30+J28+J26+J24+J21+J18+J16+J14+J10+J8</f>
        <v>9168000</v>
      </c>
      <c r="K32" s="603">
        <f>K30+K28+K26+K24+K21+K18+K16+K14+K10+K8</f>
        <v>3498179.49</v>
      </c>
      <c r="L32" s="517"/>
    </row>
    <row r="33" spans="1:12" ht="15.75" thickTop="1">
      <c r="A33" s="474"/>
      <c r="B33" s="474"/>
      <c r="C33" s="475"/>
      <c r="D33" s="285" t="s">
        <v>528</v>
      </c>
      <c r="E33" s="286"/>
      <c r="F33" s="287"/>
      <c r="G33" s="526"/>
      <c r="H33" s="288" t="s">
        <v>527</v>
      </c>
      <c r="I33" s="481"/>
      <c r="J33" s="481"/>
      <c r="K33" s="665"/>
      <c r="L33" s="517"/>
    </row>
    <row r="34" spans="1:12" ht="25.5">
      <c r="A34" s="82"/>
      <c r="B34" s="82"/>
      <c r="C34" s="214"/>
      <c r="D34" s="274" t="s">
        <v>529</v>
      </c>
      <c r="E34" s="89"/>
      <c r="F34" s="137"/>
      <c r="G34" s="527"/>
      <c r="H34" s="125" t="s">
        <v>207</v>
      </c>
      <c r="I34" s="435"/>
      <c r="J34" s="32"/>
      <c r="K34" s="32"/>
      <c r="L34" s="517"/>
    </row>
    <row r="35" spans="1:14" ht="15">
      <c r="A35" s="141"/>
      <c r="B35" s="141"/>
      <c r="C35" s="591"/>
      <c r="D35" s="619"/>
      <c r="E35" s="118" t="s">
        <v>1066</v>
      </c>
      <c r="F35" s="595"/>
      <c r="G35" s="544"/>
      <c r="H35" s="131" t="s">
        <v>244</v>
      </c>
      <c r="I35" s="464"/>
      <c r="J35" s="620"/>
      <c r="K35" s="620"/>
      <c r="L35" s="517"/>
      <c r="N35" s="748"/>
    </row>
    <row r="36" spans="1:12" ht="15">
      <c r="A36" s="141"/>
      <c r="B36" s="141"/>
      <c r="C36" s="591"/>
      <c r="D36" s="619"/>
      <c r="E36" s="118"/>
      <c r="F36" s="595"/>
      <c r="G36" s="544" t="s">
        <v>368</v>
      </c>
      <c r="H36" s="621" t="s">
        <v>224</v>
      </c>
      <c r="I36" s="594">
        <f>I37</f>
        <v>7500000</v>
      </c>
      <c r="J36" s="594">
        <f>J37</f>
        <v>7500000</v>
      </c>
      <c r="K36" s="685">
        <f>K37</f>
        <v>7388719.7</v>
      </c>
      <c r="L36" s="517"/>
    </row>
    <row r="37" spans="1:12" ht="15">
      <c r="A37" s="141"/>
      <c r="B37" s="141"/>
      <c r="C37" s="591"/>
      <c r="D37" s="619"/>
      <c r="E37" s="118"/>
      <c r="F37" s="595"/>
      <c r="G37" s="622" t="s">
        <v>585</v>
      </c>
      <c r="H37" s="623" t="s">
        <v>225</v>
      </c>
      <c r="I37" s="464">
        <v>7500000</v>
      </c>
      <c r="J37" s="464">
        <v>7500000</v>
      </c>
      <c r="K37" s="686">
        <v>7388719.7</v>
      </c>
      <c r="L37" s="517"/>
    </row>
    <row r="38" spans="1:12" ht="14.25" thickBot="1">
      <c r="A38" s="141"/>
      <c r="B38" s="294"/>
      <c r="C38" s="295"/>
      <c r="D38" s="296"/>
      <c r="E38" s="297"/>
      <c r="F38" s="298"/>
      <c r="G38" s="299"/>
      <c r="H38" s="480" t="s">
        <v>851</v>
      </c>
      <c r="I38" s="442">
        <f>I36</f>
        <v>7500000</v>
      </c>
      <c r="J38" s="442">
        <f>J36</f>
        <v>7500000</v>
      </c>
      <c r="K38" s="747">
        <f>K36</f>
        <v>7388719.7</v>
      </c>
      <c r="L38" s="517"/>
    </row>
    <row r="39" spans="1:12" ht="14.25" thickBot="1" thickTop="1">
      <c r="A39" s="624"/>
      <c r="B39" s="625"/>
      <c r="C39" s="626"/>
      <c r="D39" s="627"/>
      <c r="E39" s="628"/>
      <c r="F39" s="629"/>
      <c r="G39" s="630"/>
      <c r="H39" s="480" t="s">
        <v>206</v>
      </c>
      <c r="I39" s="672">
        <f>I32+I38</f>
        <v>16668000</v>
      </c>
      <c r="J39" s="672">
        <f>J32+J38</f>
        <v>16668000</v>
      </c>
      <c r="K39" s="749">
        <f>K32+K38</f>
        <v>10886899.190000001</v>
      </c>
      <c r="L39" s="517"/>
    </row>
    <row r="40" spans="1:12" s="22" customFormat="1" ht="15.75" thickBot="1" thickTop="1">
      <c r="A40" s="104">
        <v>2</v>
      </c>
      <c r="B40" s="104">
        <v>1</v>
      </c>
      <c r="C40" s="213">
        <v>91728</v>
      </c>
      <c r="D40" s="267"/>
      <c r="E40" s="105"/>
      <c r="F40" s="198"/>
      <c r="G40" s="530"/>
      <c r="H40" s="111" t="s">
        <v>309</v>
      </c>
      <c r="I40" s="510"/>
      <c r="J40" s="510"/>
      <c r="K40" s="110"/>
      <c r="L40" s="517"/>
    </row>
    <row r="41" spans="1:12" s="22" customFormat="1" ht="12.75" customHeight="1" thickTop="1">
      <c r="A41" s="283"/>
      <c r="B41" s="283"/>
      <c r="C41" s="284"/>
      <c r="D41" s="285" t="s">
        <v>528</v>
      </c>
      <c r="E41" s="286"/>
      <c r="F41" s="301"/>
      <c r="G41" s="526"/>
      <c r="H41" s="288" t="s">
        <v>527</v>
      </c>
      <c r="I41" s="431"/>
      <c r="J41" s="289"/>
      <c r="K41" s="289"/>
      <c r="L41" s="517"/>
    </row>
    <row r="42" spans="1:12" s="22" customFormat="1" ht="39" customHeight="1">
      <c r="A42" s="88"/>
      <c r="B42" s="88"/>
      <c r="C42" s="214"/>
      <c r="D42" s="274" t="s">
        <v>529</v>
      </c>
      <c r="E42" s="89"/>
      <c r="F42" s="200"/>
      <c r="G42" s="527"/>
      <c r="H42" s="125" t="s">
        <v>526</v>
      </c>
      <c r="I42" s="432"/>
      <c r="J42" s="39"/>
      <c r="K42" s="39"/>
      <c r="L42" s="517"/>
    </row>
    <row r="43" spans="1:12" s="22" customFormat="1" ht="13.5">
      <c r="A43" s="88"/>
      <c r="B43" s="88"/>
      <c r="C43" s="214"/>
      <c r="D43" s="270"/>
      <c r="E43" s="89">
        <v>111</v>
      </c>
      <c r="F43" s="200"/>
      <c r="G43" s="527"/>
      <c r="H43" s="238" t="s">
        <v>243</v>
      </c>
      <c r="I43" s="433"/>
      <c r="J43" s="81"/>
      <c r="K43" s="81"/>
      <c r="L43" s="517"/>
    </row>
    <row r="44" spans="1:12" s="22" customFormat="1" ht="13.5">
      <c r="A44" s="88"/>
      <c r="B44" s="88"/>
      <c r="C44" s="214"/>
      <c r="D44" s="270"/>
      <c r="E44" s="89"/>
      <c r="F44" s="200" t="s">
        <v>951</v>
      </c>
      <c r="G44" s="54">
        <v>411000</v>
      </c>
      <c r="H44" s="20" t="s">
        <v>866</v>
      </c>
      <c r="I44" s="434">
        <f>I45</f>
        <v>3100000</v>
      </c>
      <c r="J44" s="434">
        <f>J45</f>
        <v>3100000</v>
      </c>
      <c r="K44" s="434">
        <f>K45</f>
        <v>1590150.55</v>
      </c>
      <c r="L44" s="517"/>
    </row>
    <row r="45" spans="1:12" ht="12.75">
      <c r="A45" s="86"/>
      <c r="B45" s="86"/>
      <c r="C45" s="214"/>
      <c r="D45" s="270"/>
      <c r="E45" s="87"/>
      <c r="F45" s="200" t="s">
        <v>952</v>
      </c>
      <c r="G45" s="35">
        <v>411100</v>
      </c>
      <c r="H45" s="4" t="s">
        <v>878</v>
      </c>
      <c r="I45" s="435">
        <v>3100000</v>
      </c>
      <c r="J45" s="435">
        <v>3100000</v>
      </c>
      <c r="K45" s="435">
        <v>1590150.55</v>
      </c>
      <c r="L45" s="517"/>
    </row>
    <row r="46" spans="1:12" s="22" customFormat="1" ht="13.5">
      <c r="A46" s="88"/>
      <c r="B46" s="88"/>
      <c r="C46" s="214"/>
      <c r="D46" s="270"/>
      <c r="E46" s="89"/>
      <c r="F46" s="200" t="s">
        <v>953</v>
      </c>
      <c r="G46" s="54">
        <v>412000</v>
      </c>
      <c r="H46" s="20" t="s">
        <v>801</v>
      </c>
      <c r="I46" s="434">
        <f>I47+I48+I49</f>
        <v>564000</v>
      </c>
      <c r="J46" s="434">
        <f>J47+J48+J49</f>
        <v>564000</v>
      </c>
      <c r="K46" s="434">
        <f>K47+K48+K49</f>
        <v>271812.2</v>
      </c>
      <c r="L46" s="517"/>
    </row>
    <row r="47" spans="1:12" ht="12.75">
      <c r="A47" s="86"/>
      <c r="B47" s="86"/>
      <c r="C47" s="214"/>
      <c r="D47" s="270"/>
      <c r="E47" s="87"/>
      <c r="F47" s="200" t="s">
        <v>954</v>
      </c>
      <c r="G47" s="35">
        <v>412100</v>
      </c>
      <c r="H47" s="4" t="s">
        <v>879</v>
      </c>
      <c r="I47" s="435">
        <v>390000</v>
      </c>
      <c r="J47" s="435">
        <v>390000</v>
      </c>
      <c r="K47" s="435">
        <v>182220.45</v>
      </c>
      <c r="L47" s="517"/>
    </row>
    <row r="48" spans="1:12" ht="12.75">
      <c r="A48" s="82"/>
      <c r="B48" s="82"/>
      <c r="C48" s="214"/>
      <c r="D48" s="270"/>
      <c r="E48" s="83"/>
      <c r="F48" s="200" t="s">
        <v>955</v>
      </c>
      <c r="G48" s="35">
        <v>412200</v>
      </c>
      <c r="H48" s="4" t="s">
        <v>880</v>
      </c>
      <c r="I48" s="435">
        <v>152000</v>
      </c>
      <c r="J48" s="435">
        <v>152000</v>
      </c>
      <c r="K48" s="435">
        <v>78202.96</v>
      </c>
      <c r="L48" s="517"/>
    </row>
    <row r="49" spans="1:12" ht="12.75">
      <c r="A49" s="82"/>
      <c r="B49" s="82"/>
      <c r="C49" s="214"/>
      <c r="D49" s="270"/>
      <c r="E49" s="83"/>
      <c r="F49" s="200" t="s">
        <v>956</v>
      </c>
      <c r="G49" s="35">
        <v>412300</v>
      </c>
      <c r="H49" s="4" t="s">
        <v>881</v>
      </c>
      <c r="I49" s="435">
        <v>22000</v>
      </c>
      <c r="J49" s="435">
        <v>22000</v>
      </c>
      <c r="K49" s="435">
        <v>11388.79</v>
      </c>
      <c r="L49" s="517"/>
    </row>
    <row r="50" spans="1:12" s="22" customFormat="1" ht="13.5">
      <c r="A50" s="88"/>
      <c r="B50" s="88"/>
      <c r="C50" s="214"/>
      <c r="D50" s="270"/>
      <c r="E50" s="89"/>
      <c r="F50" s="200" t="s">
        <v>957</v>
      </c>
      <c r="G50" s="54">
        <v>415000</v>
      </c>
      <c r="H50" s="239" t="s">
        <v>852</v>
      </c>
      <c r="I50" s="434">
        <f>I51</f>
        <v>40000</v>
      </c>
      <c r="J50" s="434">
        <f>J51</f>
        <v>40000</v>
      </c>
      <c r="K50" s="434">
        <f>K51</f>
        <v>19200</v>
      </c>
      <c r="L50" s="517"/>
    </row>
    <row r="51" spans="1:12" ht="12.75">
      <c r="A51" s="86"/>
      <c r="B51" s="86"/>
      <c r="C51" s="214"/>
      <c r="D51" s="270"/>
      <c r="E51" s="87"/>
      <c r="F51" s="200" t="s">
        <v>958</v>
      </c>
      <c r="G51" s="35">
        <v>415100</v>
      </c>
      <c r="H51" s="52" t="s">
        <v>852</v>
      </c>
      <c r="I51" s="435">
        <v>40000</v>
      </c>
      <c r="J51" s="435">
        <v>40000</v>
      </c>
      <c r="K51" s="435">
        <v>19200</v>
      </c>
      <c r="L51" s="517"/>
    </row>
    <row r="52" spans="1:12" s="22" customFormat="1" ht="13.5">
      <c r="A52" s="88"/>
      <c r="B52" s="88"/>
      <c r="C52" s="214"/>
      <c r="D52" s="270"/>
      <c r="E52" s="89"/>
      <c r="F52" s="200" t="s">
        <v>959</v>
      </c>
      <c r="G52" s="54">
        <v>421000</v>
      </c>
      <c r="H52" s="20" t="s">
        <v>799</v>
      </c>
      <c r="I52" s="434">
        <f>I53</f>
        <v>68000000</v>
      </c>
      <c r="J52" s="434">
        <f>J53</f>
        <v>68000000</v>
      </c>
      <c r="K52" s="604">
        <f>K53</f>
        <v>31199087.43</v>
      </c>
      <c r="L52" s="517"/>
    </row>
    <row r="53" spans="1:13" ht="12.75">
      <c r="A53" s="86"/>
      <c r="B53" s="86"/>
      <c r="C53" s="214"/>
      <c r="D53" s="270"/>
      <c r="E53" s="87"/>
      <c r="F53" s="200" t="s">
        <v>960</v>
      </c>
      <c r="G53" s="35">
        <v>421300</v>
      </c>
      <c r="H53" s="52" t="s">
        <v>882</v>
      </c>
      <c r="I53" s="435">
        <f>I54+I55+I56+I57+I58+I59+I61+I60</f>
        <v>68000000</v>
      </c>
      <c r="J53" s="435">
        <f>J54+J55+J56+J57+J58+J59+J61+J60</f>
        <v>68000000</v>
      </c>
      <c r="K53" s="435">
        <f>K54+K55+K56+K57+K58+K59+K60+K61</f>
        <v>31199087.43</v>
      </c>
      <c r="L53" s="517"/>
      <c r="M53" s="514"/>
    </row>
    <row r="54" spans="1:12" s="36" customFormat="1" ht="12.75">
      <c r="A54" s="82"/>
      <c r="B54" s="82"/>
      <c r="C54" s="214"/>
      <c r="D54" s="270"/>
      <c r="E54" s="83"/>
      <c r="F54" s="200"/>
      <c r="G54" s="35"/>
      <c r="H54" s="52" t="s">
        <v>223</v>
      </c>
      <c r="I54" s="435">
        <v>24000000</v>
      </c>
      <c r="J54" s="435">
        <v>24000000</v>
      </c>
      <c r="K54" s="435">
        <v>13418240.41</v>
      </c>
      <c r="L54" s="517"/>
    </row>
    <row r="55" spans="1:12" s="36" customFormat="1" ht="12.75">
      <c r="A55" s="82"/>
      <c r="B55" s="82"/>
      <c r="C55" s="214"/>
      <c r="D55" s="270"/>
      <c r="E55" s="83"/>
      <c r="F55" s="200"/>
      <c r="G55" s="35"/>
      <c r="H55" s="52" t="s">
        <v>222</v>
      </c>
      <c r="I55" s="435">
        <v>10500000</v>
      </c>
      <c r="J55" s="435">
        <v>10500000</v>
      </c>
      <c r="K55" s="435">
        <v>6967929.49</v>
      </c>
      <c r="L55" s="517"/>
    </row>
    <row r="56" spans="1:12" s="36" customFormat="1" ht="12.75">
      <c r="A56" s="82"/>
      <c r="B56" s="82"/>
      <c r="C56" s="214"/>
      <c r="D56" s="270"/>
      <c r="E56" s="83"/>
      <c r="F56" s="200"/>
      <c r="G56" s="35"/>
      <c r="H56" s="52" t="s">
        <v>240</v>
      </c>
      <c r="I56" s="435">
        <v>18500000</v>
      </c>
      <c r="J56" s="435">
        <v>18500000</v>
      </c>
      <c r="K56" s="435">
        <v>5638008.21</v>
      </c>
      <c r="L56" s="517"/>
    </row>
    <row r="57" spans="1:12" s="36" customFormat="1" ht="12.75">
      <c r="A57" s="82"/>
      <c r="B57" s="82"/>
      <c r="C57" s="214"/>
      <c r="D57" s="270"/>
      <c r="E57" s="83"/>
      <c r="F57" s="200"/>
      <c r="G57" s="35"/>
      <c r="H57" s="52" t="s">
        <v>318</v>
      </c>
      <c r="I57" s="435">
        <v>5000000</v>
      </c>
      <c r="J57" s="435">
        <v>5000000</v>
      </c>
      <c r="K57" s="435">
        <v>2752682.4</v>
      </c>
      <c r="L57" s="517"/>
    </row>
    <row r="58" spans="1:12" s="36" customFormat="1" ht="12.75">
      <c r="A58" s="82"/>
      <c r="B58" s="82"/>
      <c r="C58" s="214"/>
      <c r="D58" s="270"/>
      <c r="E58" s="83"/>
      <c r="F58" s="200"/>
      <c r="G58" s="35"/>
      <c r="H58" s="52" t="s">
        <v>822</v>
      </c>
      <c r="I58" s="435">
        <v>2000000</v>
      </c>
      <c r="J58" s="435">
        <v>2000000</v>
      </c>
      <c r="K58" s="435">
        <v>270864</v>
      </c>
      <c r="L58" s="517"/>
    </row>
    <row r="59" spans="1:12" s="36" customFormat="1" ht="12.75">
      <c r="A59" s="82"/>
      <c r="B59" s="82"/>
      <c r="C59" s="214"/>
      <c r="D59" s="270"/>
      <c r="E59" s="83"/>
      <c r="F59" s="200"/>
      <c r="G59" s="35"/>
      <c r="H59" s="52" t="s">
        <v>346</v>
      </c>
      <c r="I59" s="435">
        <v>1700000</v>
      </c>
      <c r="J59" s="435">
        <v>1700000</v>
      </c>
      <c r="K59" s="435">
        <v>397540</v>
      </c>
      <c r="L59" s="517"/>
    </row>
    <row r="60" spans="1:12" s="36" customFormat="1" ht="12.75">
      <c r="A60" s="82"/>
      <c r="B60" s="82"/>
      <c r="C60" s="214"/>
      <c r="D60" s="270"/>
      <c r="E60" s="83"/>
      <c r="F60" s="200"/>
      <c r="G60" s="35"/>
      <c r="H60" s="52" t="s">
        <v>311</v>
      </c>
      <c r="I60" s="435">
        <v>3000000</v>
      </c>
      <c r="J60" s="435">
        <v>3000000</v>
      </c>
      <c r="K60" s="435">
        <v>1753822.92</v>
      </c>
      <c r="L60" s="517"/>
    </row>
    <row r="61" spans="1:12" s="36" customFormat="1" ht="12.75">
      <c r="A61" s="82"/>
      <c r="B61" s="82"/>
      <c r="C61" s="214"/>
      <c r="D61" s="270"/>
      <c r="E61" s="83"/>
      <c r="F61" s="200"/>
      <c r="G61" s="35"/>
      <c r="H61" s="52" t="s">
        <v>347</v>
      </c>
      <c r="I61" s="435">
        <v>3300000</v>
      </c>
      <c r="J61" s="435">
        <v>3300000</v>
      </c>
      <c r="K61" s="435">
        <v>0</v>
      </c>
      <c r="L61" s="517"/>
    </row>
    <row r="62" spans="1:12" s="22" customFormat="1" ht="13.5">
      <c r="A62" s="88"/>
      <c r="B62" s="88"/>
      <c r="C62" s="214"/>
      <c r="D62" s="270"/>
      <c r="E62" s="89"/>
      <c r="F62" s="200" t="s">
        <v>961</v>
      </c>
      <c r="G62" s="54">
        <v>422000</v>
      </c>
      <c r="H62" s="20" t="s">
        <v>793</v>
      </c>
      <c r="I62" s="434">
        <f>I63+I64+I65</f>
        <v>1300000</v>
      </c>
      <c r="J62" s="434">
        <f>J63+J64+J65</f>
        <v>1300000</v>
      </c>
      <c r="K62" s="434">
        <f>K63+K64+K65</f>
        <v>310000</v>
      </c>
      <c r="L62" s="517"/>
    </row>
    <row r="63" spans="1:12" ht="12.75">
      <c r="A63" s="86"/>
      <c r="B63" s="86"/>
      <c r="C63" s="214"/>
      <c r="D63" s="270"/>
      <c r="E63" s="87"/>
      <c r="F63" s="200" t="s">
        <v>962</v>
      </c>
      <c r="G63" s="35">
        <v>422100</v>
      </c>
      <c r="H63" s="4" t="s">
        <v>899</v>
      </c>
      <c r="I63" s="435">
        <v>200000</v>
      </c>
      <c r="J63" s="435">
        <v>200000</v>
      </c>
      <c r="K63" s="435">
        <v>0</v>
      </c>
      <c r="L63" s="517"/>
    </row>
    <row r="64" spans="1:12" ht="12.75">
      <c r="A64" s="82"/>
      <c r="B64" s="82"/>
      <c r="C64" s="214"/>
      <c r="D64" s="270"/>
      <c r="E64" s="83"/>
      <c r="F64" s="200" t="s">
        <v>963</v>
      </c>
      <c r="G64" s="35">
        <v>422200</v>
      </c>
      <c r="H64" s="4" t="s">
        <v>900</v>
      </c>
      <c r="I64" s="435">
        <v>100000</v>
      </c>
      <c r="J64" s="435">
        <v>100000</v>
      </c>
      <c r="K64" s="435">
        <v>0</v>
      </c>
      <c r="L64" s="517"/>
    </row>
    <row r="65" spans="1:12" ht="12.75">
      <c r="A65" s="82"/>
      <c r="B65" s="82"/>
      <c r="C65" s="214"/>
      <c r="D65" s="270"/>
      <c r="E65" s="83"/>
      <c r="F65" s="200" t="s">
        <v>964</v>
      </c>
      <c r="G65" s="35">
        <v>422900</v>
      </c>
      <c r="H65" s="4" t="s">
        <v>230</v>
      </c>
      <c r="I65" s="435">
        <v>1000000</v>
      </c>
      <c r="J65" s="435">
        <v>1000000</v>
      </c>
      <c r="K65" s="435">
        <v>310000</v>
      </c>
      <c r="L65" s="517"/>
    </row>
    <row r="66" spans="1:12" s="22" customFormat="1" ht="13.5">
      <c r="A66" s="88"/>
      <c r="B66" s="88"/>
      <c r="C66" s="214"/>
      <c r="D66" s="270"/>
      <c r="E66" s="89"/>
      <c r="F66" s="200" t="s">
        <v>965</v>
      </c>
      <c r="G66" s="54">
        <v>423000</v>
      </c>
      <c r="H66" s="20" t="s">
        <v>794</v>
      </c>
      <c r="I66" s="434">
        <f>I67+I68+I74+I75</f>
        <v>13350000</v>
      </c>
      <c r="J66" s="434">
        <f>J67+J68+J74+J75</f>
        <v>13350000</v>
      </c>
      <c r="K66" s="434">
        <f>K67+K68+K74+K75</f>
        <v>508282.92000000004</v>
      </c>
      <c r="L66" s="517"/>
    </row>
    <row r="67" spans="1:12" ht="12.75">
      <c r="A67" s="86"/>
      <c r="B67" s="86"/>
      <c r="C67" s="214"/>
      <c r="D67" s="270"/>
      <c r="E67" s="87"/>
      <c r="F67" s="200" t="s">
        <v>966</v>
      </c>
      <c r="G67" s="35">
        <v>423400</v>
      </c>
      <c r="H67" s="4" t="s">
        <v>884</v>
      </c>
      <c r="I67" s="435">
        <v>4000000</v>
      </c>
      <c r="J67" s="435">
        <v>4000000</v>
      </c>
      <c r="K67" s="435">
        <v>0</v>
      </c>
      <c r="L67" s="517"/>
    </row>
    <row r="68" spans="1:12" ht="12.75">
      <c r="A68" s="82"/>
      <c r="B68" s="82"/>
      <c r="C68" s="214"/>
      <c r="D68" s="270"/>
      <c r="E68" s="83"/>
      <c r="F68" s="200" t="s">
        <v>967</v>
      </c>
      <c r="G68" s="35">
        <v>423500</v>
      </c>
      <c r="H68" s="4" t="s">
        <v>903</v>
      </c>
      <c r="I68" s="435">
        <f>I69+I70+I71+I72+I73</f>
        <v>8500000</v>
      </c>
      <c r="J68" s="435">
        <f>J69+J70+J71+J72+J73</f>
        <v>8500000</v>
      </c>
      <c r="K68" s="658">
        <v>120000</v>
      </c>
      <c r="L68" s="517"/>
    </row>
    <row r="69" spans="1:12" s="53" customFormat="1" ht="12.75">
      <c r="A69" s="82"/>
      <c r="B69" s="82"/>
      <c r="C69" s="214"/>
      <c r="D69" s="270"/>
      <c r="E69" s="83"/>
      <c r="F69" s="200"/>
      <c r="G69" s="35"/>
      <c r="H69" s="4" t="s">
        <v>341</v>
      </c>
      <c r="I69" s="435">
        <v>1000000</v>
      </c>
      <c r="J69" s="435">
        <v>1000000</v>
      </c>
      <c r="K69" s="435">
        <v>0</v>
      </c>
      <c r="L69" s="517"/>
    </row>
    <row r="70" spans="1:12" s="36" customFormat="1" ht="12.75">
      <c r="A70" s="82"/>
      <c r="B70" s="82"/>
      <c r="C70" s="214"/>
      <c r="D70" s="270"/>
      <c r="E70" s="83"/>
      <c r="F70" s="200"/>
      <c r="G70" s="35"/>
      <c r="H70" s="4" t="s">
        <v>354</v>
      </c>
      <c r="I70" s="435">
        <v>2000000</v>
      </c>
      <c r="J70" s="435">
        <v>2000000</v>
      </c>
      <c r="K70" s="435">
        <v>0</v>
      </c>
      <c r="L70" s="517"/>
    </row>
    <row r="71" spans="1:12" s="36" customFormat="1" ht="25.5">
      <c r="A71" s="82"/>
      <c r="B71" s="82"/>
      <c r="C71" s="214"/>
      <c r="D71" s="270"/>
      <c r="E71" s="83"/>
      <c r="F71" s="200"/>
      <c r="G71" s="35"/>
      <c r="H71" s="4" t="s">
        <v>355</v>
      </c>
      <c r="I71" s="435">
        <v>0</v>
      </c>
      <c r="J71" s="435">
        <v>0</v>
      </c>
      <c r="K71" s="435">
        <v>0</v>
      </c>
      <c r="L71" s="517"/>
    </row>
    <row r="72" spans="1:12" s="36" customFormat="1" ht="12.75">
      <c r="A72" s="82"/>
      <c r="B72" s="82"/>
      <c r="C72" s="214"/>
      <c r="D72" s="270"/>
      <c r="E72" s="83"/>
      <c r="F72" s="200"/>
      <c r="G72" s="35"/>
      <c r="H72" s="4" t="s">
        <v>522</v>
      </c>
      <c r="I72" s="435">
        <v>500000</v>
      </c>
      <c r="J72" s="435">
        <v>500000</v>
      </c>
      <c r="K72" s="435">
        <v>0</v>
      </c>
      <c r="L72" s="517"/>
    </row>
    <row r="73" spans="1:12" s="36" customFormat="1" ht="12.75">
      <c r="A73" s="82"/>
      <c r="B73" s="82"/>
      <c r="C73" s="214"/>
      <c r="D73" s="270"/>
      <c r="E73" s="83"/>
      <c r="F73" s="200"/>
      <c r="G73" s="35"/>
      <c r="H73" s="4" t="s">
        <v>630</v>
      </c>
      <c r="I73" s="435">
        <v>5000000</v>
      </c>
      <c r="J73" s="435">
        <v>5000000</v>
      </c>
      <c r="K73" s="435">
        <v>0</v>
      </c>
      <c r="L73" s="517"/>
    </row>
    <row r="74" spans="1:12" ht="12.75">
      <c r="A74" s="82"/>
      <c r="B74" s="82"/>
      <c r="C74" s="214"/>
      <c r="D74" s="270"/>
      <c r="E74" s="83"/>
      <c r="F74" s="200" t="s">
        <v>968</v>
      </c>
      <c r="G74" s="35">
        <v>423600</v>
      </c>
      <c r="H74" s="4" t="s">
        <v>904</v>
      </c>
      <c r="I74" s="435">
        <v>600000</v>
      </c>
      <c r="J74" s="435">
        <v>600000</v>
      </c>
      <c r="K74" s="435">
        <v>220182.5</v>
      </c>
      <c r="L74" s="517"/>
    </row>
    <row r="75" spans="1:12" ht="12.75">
      <c r="A75" s="82"/>
      <c r="B75" s="82"/>
      <c r="C75" s="214"/>
      <c r="D75" s="270"/>
      <c r="E75" s="83"/>
      <c r="F75" s="200" t="s">
        <v>969</v>
      </c>
      <c r="G75" s="35">
        <v>423700</v>
      </c>
      <c r="H75" s="4" t="s">
        <v>905</v>
      </c>
      <c r="I75" s="435">
        <v>250000</v>
      </c>
      <c r="J75" s="435">
        <v>250000</v>
      </c>
      <c r="K75" s="435">
        <v>168100.42</v>
      </c>
      <c r="L75" s="517"/>
    </row>
    <row r="76" spans="1:12" s="22" customFormat="1" ht="13.5">
      <c r="A76" s="88"/>
      <c r="B76" s="88"/>
      <c r="C76" s="214"/>
      <c r="D76" s="270"/>
      <c r="E76" s="89"/>
      <c r="F76" s="200" t="s">
        <v>970</v>
      </c>
      <c r="G76" s="528">
        <v>424000</v>
      </c>
      <c r="H76" s="20" t="s">
        <v>800</v>
      </c>
      <c r="I76" s="434">
        <f>I77+I78</f>
        <v>5200000</v>
      </c>
      <c r="J76" s="434">
        <f>J77+J78</f>
        <v>5200000</v>
      </c>
      <c r="K76" s="434">
        <f>K77+K78</f>
        <v>0</v>
      </c>
      <c r="L76" s="517"/>
    </row>
    <row r="77" spans="1:12" s="22" customFormat="1" ht="12.75">
      <c r="A77" s="88"/>
      <c r="B77" s="88"/>
      <c r="C77" s="214"/>
      <c r="D77" s="270"/>
      <c r="E77" s="89"/>
      <c r="F77" s="200"/>
      <c r="G77" s="524" t="s">
        <v>362</v>
      </c>
      <c r="H77" s="4" t="s">
        <v>235</v>
      </c>
      <c r="I77" s="435">
        <v>1000000</v>
      </c>
      <c r="J77" s="435">
        <v>1000000</v>
      </c>
      <c r="K77" s="435">
        <v>0</v>
      </c>
      <c r="L77" s="517"/>
    </row>
    <row r="78" spans="1:12" ht="25.5">
      <c r="A78" s="86"/>
      <c r="B78" s="86"/>
      <c r="C78" s="214"/>
      <c r="D78" s="270"/>
      <c r="E78" s="87"/>
      <c r="F78" s="200" t="s">
        <v>971</v>
      </c>
      <c r="G78" s="524">
        <v>424600</v>
      </c>
      <c r="H78" s="5" t="s">
        <v>312</v>
      </c>
      <c r="I78" s="435">
        <v>4200000</v>
      </c>
      <c r="J78" s="435">
        <v>4200000</v>
      </c>
      <c r="K78" s="435">
        <v>0</v>
      </c>
      <c r="L78" s="517"/>
    </row>
    <row r="79" spans="1:12" s="22" customFormat="1" ht="13.5">
      <c r="A79" s="88"/>
      <c r="B79" s="88"/>
      <c r="C79" s="214"/>
      <c r="D79" s="270"/>
      <c r="E79" s="89"/>
      <c r="F79" s="200" t="s">
        <v>972</v>
      </c>
      <c r="G79" s="528">
        <v>426000</v>
      </c>
      <c r="H79" s="20" t="s">
        <v>795</v>
      </c>
      <c r="I79" s="434">
        <f>I80</f>
        <v>100000</v>
      </c>
      <c r="J79" s="434">
        <f>J80</f>
        <v>100000</v>
      </c>
      <c r="K79" s="434">
        <f>K80</f>
        <v>0</v>
      </c>
      <c r="L79" s="517"/>
    </row>
    <row r="80" spans="1:12" ht="12.75">
      <c r="A80" s="86"/>
      <c r="B80" s="86"/>
      <c r="C80" s="214"/>
      <c r="D80" s="270"/>
      <c r="E80" s="87"/>
      <c r="F80" s="200" t="s">
        <v>973</v>
      </c>
      <c r="G80" s="524">
        <v>426800</v>
      </c>
      <c r="H80" s="5" t="s">
        <v>913</v>
      </c>
      <c r="I80" s="435">
        <v>100000</v>
      </c>
      <c r="J80" s="435">
        <v>100000</v>
      </c>
      <c r="K80" s="435">
        <v>0</v>
      </c>
      <c r="L80" s="517"/>
    </row>
    <row r="81" spans="1:12" s="24" customFormat="1" ht="18" customHeight="1">
      <c r="A81" s="84"/>
      <c r="B81" s="84"/>
      <c r="C81" s="215"/>
      <c r="D81" s="208"/>
      <c r="E81" s="85"/>
      <c r="F81" s="200" t="s">
        <v>974</v>
      </c>
      <c r="G81" s="528" t="s">
        <v>381</v>
      </c>
      <c r="H81" s="23" t="s">
        <v>384</v>
      </c>
      <c r="I81" s="434">
        <f>I82</f>
        <v>420000</v>
      </c>
      <c r="J81" s="434">
        <f>J82</f>
        <v>420000</v>
      </c>
      <c r="K81" s="434">
        <f>K82</f>
        <v>201519.79</v>
      </c>
      <c r="L81" s="517"/>
    </row>
    <row r="82" spans="1:12" ht="12.75">
      <c r="A82" s="86"/>
      <c r="B82" s="86"/>
      <c r="C82" s="214"/>
      <c r="D82" s="270"/>
      <c r="E82" s="87"/>
      <c r="F82" s="200" t="s">
        <v>975</v>
      </c>
      <c r="G82" s="524" t="s">
        <v>382</v>
      </c>
      <c r="H82" s="5" t="s">
        <v>383</v>
      </c>
      <c r="I82" s="435">
        <v>420000</v>
      </c>
      <c r="J82" s="435">
        <v>420000</v>
      </c>
      <c r="K82" s="435">
        <v>201519.79</v>
      </c>
      <c r="L82" s="517"/>
    </row>
    <row r="83" spans="1:12" s="36" customFormat="1" ht="13.5">
      <c r="A83" s="86"/>
      <c r="B83" s="86"/>
      <c r="C83" s="214"/>
      <c r="D83" s="270"/>
      <c r="E83" s="87"/>
      <c r="F83" s="200"/>
      <c r="G83" s="528" t="s">
        <v>1480</v>
      </c>
      <c r="H83" s="673" t="s">
        <v>650</v>
      </c>
      <c r="I83" s="434">
        <f>I84</f>
        <v>0</v>
      </c>
      <c r="J83" s="434">
        <f>J84</f>
        <v>4550766.92</v>
      </c>
      <c r="K83" s="434">
        <f>K84</f>
        <v>4550766.92</v>
      </c>
      <c r="L83" s="517"/>
    </row>
    <row r="84" spans="1:12" s="36" customFormat="1" ht="12.75">
      <c r="A84" s="86"/>
      <c r="B84" s="86"/>
      <c r="C84" s="214"/>
      <c r="D84" s="270"/>
      <c r="E84" s="87"/>
      <c r="F84" s="200"/>
      <c r="G84" s="524" t="s">
        <v>1481</v>
      </c>
      <c r="H84" s="76" t="s">
        <v>650</v>
      </c>
      <c r="I84" s="435">
        <v>0</v>
      </c>
      <c r="J84" s="838">
        <v>4550766.92</v>
      </c>
      <c r="K84" s="435">
        <v>4550766.92</v>
      </c>
      <c r="L84" s="517"/>
    </row>
    <row r="85" spans="1:12" s="22" customFormat="1" ht="17.25" customHeight="1">
      <c r="A85" s="88"/>
      <c r="B85" s="88"/>
      <c r="C85" s="214"/>
      <c r="D85" s="270"/>
      <c r="E85" s="89"/>
      <c r="F85" s="200" t="s">
        <v>976</v>
      </c>
      <c r="G85" s="54">
        <v>511000</v>
      </c>
      <c r="H85" s="25" t="s">
        <v>802</v>
      </c>
      <c r="I85" s="438">
        <f>I86+I95</f>
        <v>121840000</v>
      </c>
      <c r="J85" s="438">
        <f>J86+J95</f>
        <v>116840000</v>
      </c>
      <c r="K85" s="438">
        <f>K86+K95</f>
        <v>8379918.99</v>
      </c>
      <c r="L85" s="517"/>
    </row>
    <row r="86" spans="1:13" ht="15.75" customHeight="1">
      <c r="A86" s="86"/>
      <c r="B86" s="86"/>
      <c r="C86" s="214"/>
      <c r="D86" s="270"/>
      <c r="E86" s="87"/>
      <c r="F86" s="200" t="s">
        <v>977</v>
      </c>
      <c r="G86" s="35">
        <v>511200</v>
      </c>
      <c r="H86" s="6" t="s">
        <v>887</v>
      </c>
      <c r="I86" s="439">
        <f>I87+I88+I89+I90+I91+I92+I93+I94</f>
        <v>21840000</v>
      </c>
      <c r="J86" s="439">
        <f>J87+J88+J89+J90+J91+J92+J93+J94</f>
        <v>21840000</v>
      </c>
      <c r="K86" s="439">
        <f>K87+K88+K89+K90+K91+K92+K93+K94</f>
        <v>4456278.99</v>
      </c>
      <c r="L86" s="517"/>
      <c r="M86" s="17"/>
    </row>
    <row r="87" spans="1:13" ht="15.75" customHeight="1">
      <c r="A87" s="86"/>
      <c r="B87" s="86"/>
      <c r="C87" s="214"/>
      <c r="D87" s="270"/>
      <c r="E87" s="87"/>
      <c r="F87" s="200"/>
      <c r="G87" s="35"/>
      <c r="H87" s="618" t="s">
        <v>536</v>
      </c>
      <c r="I87" s="656">
        <v>6000000</v>
      </c>
      <c r="J87" s="656">
        <v>6000000</v>
      </c>
      <c r="K87" s="439">
        <v>0</v>
      </c>
      <c r="L87" s="517"/>
      <c r="M87" s="17"/>
    </row>
    <row r="88" spans="1:13" ht="15.75" customHeight="1">
      <c r="A88" s="86"/>
      <c r="B88" s="86"/>
      <c r="C88" s="214"/>
      <c r="D88" s="270"/>
      <c r="E88" s="87"/>
      <c r="F88" s="200"/>
      <c r="G88" s="35"/>
      <c r="H88" s="618" t="s">
        <v>1472</v>
      </c>
      <c r="I88" s="656">
        <v>2000000</v>
      </c>
      <c r="J88" s="656">
        <v>2000000</v>
      </c>
      <c r="K88" s="439">
        <v>0</v>
      </c>
      <c r="L88" s="517"/>
      <c r="M88" s="17"/>
    </row>
    <row r="89" spans="1:12" s="36" customFormat="1" ht="12.75">
      <c r="A89" s="82"/>
      <c r="B89" s="82"/>
      <c r="C89" s="214"/>
      <c r="D89" s="270"/>
      <c r="E89" s="83"/>
      <c r="F89" s="200"/>
      <c r="G89" s="35"/>
      <c r="H89" s="618" t="s">
        <v>702</v>
      </c>
      <c r="I89" s="657">
        <v>7000000</v>
      </c>
      <c r="J89" s="657">
        <v>7000000</v>
      </c>
      <c r="K89" s="437">
        <v>2955411.5</v>
      </c>
      <c r="L89" s="517"/>
    </row>
    <row r="90" spans="1:12" s="36" customFormat="1" ht="12.75">
      <c r="A90" s="82"/>
      <c r="B90" s="82"/>
      <c r="C90" s="214"/>
      <c r="D90" s="270"/>
      <c r="E90" s="83"/>
      <c r="F90" s="200"/>
      <c r="G90" s="35"/>
      <c r="H90" s="618" t="s">
        <v>823</v>
      </c>
      <c r="I90" s="657">
        <v>3000000</v>
      </c>
      <c r="J90" s="657">
        <v>3000000</v>
      </c>
      <c r="K90" s="437">
        <v>1500867.49</v>
      </c>
      <c r="L90" s="517" t="s">
        <v>1477</v>
      </c>
    </row>
    <row r="91" spans="1:12" s="36" customFormat="1" ht="25.5">
      <c r="A91" s="82"/>
      <c r="B91" s="82"/>
      <c r="C91" s="214"/>
      <c r="D91" s="270"/>
      <c r="E91" s="83"/>
      <c r="F91" s="200"/>
      <c r="G91" s="35"/>
      <c r="H91" s="6" t="s">
        <v>6</v>
      </c>
      <c r="I91" s="657">
        <v>90000</v>
      </c>
      <c r="J91" s="657">
        <v>90000</v>
      </c>
      <c r="K91" s="437"/>
      <c r="L91" s="517" t="s">
        <v>1478</v>
      </c>
    </row>
    <row r="92" spans="1:12" s="36" customFormat="1" ht="25.5">
      <c r="A92" s="82"/>
      <c r="B92" s="82"/>
      <c r="C92" s="214"/>
      <c r="D92" s="270"/>
      <c r="E92" s="83"/>
      <c r="F92" s="200"/>
      <c r="G92" s="35"/>
      <c r="H92" s="6" t="s">
        <v>7</v>
      </c>
      <c r="I92" s="657">
        <v>150000</v>
      </c>
      <c r="J92" s="657">
        <v>150000</v>
      </c>
      <c r="K92" s="437"/>
      <c r="L92" s="517" t="s">
        <v>1479</v>
      </c>
    </row>
    <row r="93" spans="1:12" s="36" customFormat="1" ht="25.5">
      <c r="A93" s="82"/>
      <c r="B93" s="82"/>
      <c r="C93" s="214"/>
      <c r="D93" s="270"/>
      <c r="E93" s="83"/>
      <c r="F93" s="200"/>
      <c r="G93" s="35"/>
      <c r="H93" s="6" t="s">
        <v>8</v>
      </c>
      <c r="I93" s="657">
        <v>100000</v>
      </c>
      <c r="J93" s="657">
        <v>100000</v>
      </c>
      <c r="K93" s="437"/>
      <c r="L93" s="517"/>
    </row>
    <row r="94" spans="1:12" s="36" customFormat="1" ht="12.75">
      <c r="A94" s="82"/>
      <c r="B94" s="82"/>
      <c r="C94" s="214"/>
      <c r="D94" s="270"/>
      <c r="E94" s="83"/>
      <c r="F94" s="200"/>
      <c r="G94" s="35"/>
      <c r="H94" s="618" t="s">
        <v>313</v>
      </c>
      <c r="I94" s="657">
        <v>3500000</v>
      </c>
      <c r="J94" s="657">
        <v>3500000</v>
      </c>
      <c r="K94" s="437">
        <v>0</v>
      </c>
      <c r="L94" s="517"/>
    </row>
    <row r="95" spans="1:12" s="36" customFormat="1" ht="12.75">
      <c r="A95" s="82"/>
      <c r="B95" s="82"/>
      <c r="C95" s="214"/>
      <c r="D95" s="270"/>
      <c r="E95" s="83"/>
      <c r="F95" s="200"/>
      <c r="G95" s="35" t="s">
        <v>685</v>
      </c>
      <c r="H95" s="618" t="s">
        <v>888</v>
      </c>
      <c r="I95" s="657">
        <v>100000000</v>
      </c>
      <c r="J95" s="837">
        <v>95000000</v>
      </c>
      <c r="K95" s="745">
        <v>3923640</v>
      </c>
      <c r="L95" s="517"/>
    </row>
    <row r="96" spans="1:12" s="36" customFormat="1" ht="13.5">
      <c r="A96" s="82"/>
      <c r="B96" s="82"/>
      <c r="C96" s="214"/>
      <c r="D96" s="270"/>
      <c r="E96" s="83"/>
      <c r="F96" s="200"/>
      <c r="G96" s="54" t="s">
        <v>616</v>
      </c>
      <c r="H96" s="618" t="s">
        <v>507</v>
      </c>
      <c r="I96" s="662">
        <f>I97</f>
        <v>0</v>
      </c>
      <c r="J96" s="662">
        <f>J97</f>
        <v>6418440</v>
      </c>
      <c r="K96" s="438">
        <f>K97</f>
        <v>2825126.88</v>
      </c>
      <c r="L96" s="517"/>
    </row>
    <row r="97" spans="1:12" s="36" customFormat="1" ht="12.75">
      <c r="A97" s="82"/>
      <c r="B97" s="82"/>
      <c r="C97" s="214"/>
      <c r="D97" s="270"/>
      <c r="E97" s="83"/>
      <c r="F97" s="200"/>
      <c r="G97" s="35" t="s">
        <v>294</v>
      </c>
      <c r="H97" s="618" t="s">
        <v>508</v>
      </c>
      <c r="I97" s="657">
        <v>0</v>
      </c>
      <c r="J97" s="836">
        <v>6418440</v>
      </c>
      <c r="K97" s="437">
        <v>2825126.88</v>
      </c>
      <c r="L97" s="517"/>
    </row>
    <row r="98" spans="1:12" s="55" customFormat="1" ht="13.5">
      <c r="A98" s="88"/>
      <c r="B98" s="88"/>
      <c r="C98" s="214"/>
      <c r="D98" s="270"/>
      <c r="E98" s="89"/>
      <c r="F98" s="200" t="s">
        <v>600</v>
      </c>
      <c r="G98" s="74" t="s">
        <v>524</v>
      </c>
      <c r="H98" s="37" t="s">
        <v>865</v>
      </c>
      <c r="I98" s="434">
        <f>I99</f>
        <v>46000000</v>
      </c>
      <c r="J98" s="434">
        <f>J99</f>
        <v>45600000</v>
      </c>
      <c r="K98" s="436">
        <f>K99</f>
        <v>0</v>
      </c>
      <c r="L98" s="517"/>
    </row>
    <row r="99" spans="1:12" s="36" customFormat="1" ht="12.75">
      <c r="A99" s="82"/>
      <c r="B99" s="82"/>
      <c r="C99" s="214"/>
      <c r="D99" s="270"/>
      <c r="E99" s="83"/>
      <c r="F99" s="200" t="s">
        <v>978</v>
      </c>
      <c r="G99" s="35" t="s">
        <v>523</v>
      </c>
      <c r="H99" s="7" t="s">
        <v>865</v>
      </c>
      <c r="I99" s="435">
        <f>I100+I101+I102</f>
        <v>46000000</v>
      </c>
      <c r="J99" s="658">
        <f>J100+J101+J102</f>
        <v>45600000</v>
      </c>
      <c r="K99" s="435">
        <f>K100+K101</f>
        <v>0</v>
      </c>
      <c r="L99" s="517"/>
    </row>
    <row r="100" spans="1:12" s="36" customFormat="1" ht="12.75">
      <c r="A100" s="82"/>
      <c r="B100" s="82"/>
      <c r="C100" s="214"/>
      <c r="D100" s="270"/>
      <c r="E100" s="83"/>
      <c r="F100" s="200"/>
      <c r="G100" s="35"/>
      <c r="H100" s="76" t="s">
        <v>314</v>
      </c>
      <c r="I100" s="435">
        <v>38000000</v>
      </c>
      <c r="J100" s="658">
        <v>38000000</v>
      </c>
      <c r="K100" s="435">
        <v>0</v>
      </c>
      <c r="L100" s="517"/>
    </row>
    <row r="101" spans="1:12" s="36" customFormat="1" ht="12.75">
      <c r="A101" s="82"/>
      <c r="B101" s="82"/>
      <c r="C101" s="214"/>
      <c r="D101" s="270"/>
      <c r="E101" s="83"/>
      <c r="F101" s="200"/>
      <c r="G101" s="35"/>
      <c r="H101" s="7" t="s">
        <v>317</v>
      </c>
      <c r="I101" s="435">
        <v>6000000</v>
      </c>
      <c r="J101" s="435">
        <v>6000000</v>
      </c>
      <c r="K101" s="435">
        <v>0</v>
      </c>
      <c r="L101" s="517"/>
    </row>
    <row r="102" spans="1:12" ht="12.75">
      <c r="A102" s="82"/>
      <c r="B102" s="82"/>
      <c r="C102" s="214"/>
      <c r="D102" s="270"/>
      <c r="E102" s="83"/>
      <c r="F102" s="200"/>
      <c r="G102" s="35"/>
      <c r="H102" s="293" t="s">
        <v>1473</v>
      </c>
      <c r="I102" s="435">
        <v>2000000</v>
      </c>
      <c r="J102" s="688">
        <v>1600000</v>
      </c>
      <c r="K102" s="435"/>
      <c r="L102" s="517"/>
    </row>
    <row r="103" spans="1:12" ht="12.75">
      <c r="A103" s="474"/>
      <c r="B103" s="474"/>
      <c r="C103" s="475"/>
      <c r="D103" s="476"/>
      <c r="E103" s="477"/>
      <c r="F103" s="478"/>
      <c r="G103" s="479"/>
      <c r="H103" s="480" t="s">
        <v>652</v>
      </c>
      <c r="I103" s="481">
        <f>I44+I46+I50+I52+I62+I66+I76+I79+I81++I85++I98+I96+I83</f>
        <v>259914000</v>
      </c>
      <c r="J103" s="481">
        <f>J44+J46+J50+J52+J62+J66+J76+J79+J81+J83+J85+J96+J98</f>
        <v>265483206.92000002</v>
      </c>
      <c r="K103" s="603">
        <f>K44+K46+K50+K52+K62+K66+K76+K79+K81+K83+K85+K96+K98</f>
        <v>49855865.68000001</v>
      </c>
      <c r="L103" s="517"/>
    </row>
    <row r="104" spans="1:12" ht="13.5" thickBot="1">
      <c r="A104" s="294"/>
      <c r="B104" s="294"/>
      <c r="C104" s="295"/>
      <c r="D104" s="296"/>
      <c r="E104" s="297"/>
      <c r="F104" s="298"/>
      <c r="G104" s="299"/>
      <c r="H104" s="300"/>
      <c r="I104" s="440"/>
      <c r="J104" s="440"/>
      <c r="K104" s="440"/>
      <c r="L104" s="517"/>
    </row>
    <row r="105" spans="1:12" s="22" customFormat="1" ht="16.5" thickBot="1" thickTop="1">
      <c r="A105" s="112">
        <v>3</v>
      </c>
      <c r="B105" s="112">
        <v>1</v>
      </c>
      <c r="C105" s="224">
        <v>91729</v>
      </c>
      <c r="D105" s="271"/>
      <c r="E105" s="113"/>
      <c r="F105" s="201"/>
      <c r="G105" s="531"/>
      <c r="H105" s="111" t="s">
        <v>310</v>
      </c>
      <c r="I105" s="441"/>
      <c r="J105" s="441"/>
      <c r="K105" s="441"/>
      <c r="L105" s="517"/>
    </row>
    <row r="106" spans="1:12" s="22" customFormat="1" ht="12.75" customHeight="1" thickTop="1">
      <c r="A106" s="283"/>
      <c r="B106" s="283"/>
      <c r="C106" s="302"/>
      <c r="D106" s="285" t="s">
        <v>528</v>
      </c>
      <c r="E106" s="286"/>
      <c r="F106" s="301"/>
      <c r="G106" s="526"/>
      <c r="H106" s="288" t="s">
        <v>527</v>
      </c>
      <c r="I106" s="431"/>
      <c r="J106" s="431"/>
      <c r="K106" s="431"/>
      <c r="L106" s="517"/>
    </row>
    <row r="107" spans="1:12" s="22" customFormat="1" ht="40.5" customHeight="1">
      <c r="A107" s="88"/>
      <c r="B107" s="88"/>
      <c r="C107" s="216"/>
      <c r="D107" s="274" t="s">
        <v>529</v>
      </c>
      <c r="E107" s="89"/>
      <c r="F107" s="200"/>
      <c r="G107" s="527"/>
      <c r="H107" s="125" t="s">
        <v>526</v>
      </c>
      <c r="I107" s="432"/>
      <c r="J107" s="432"/>
      <c r="K107" s="432"/>
      <c r="L107" s="517"/>
    </row>
    <row r="108" spans="1:12" s="22" customFormat="1" ht="13.5">
      <c r="A108" s="88"/>
      <c r="B108" s="88"/>
      <c r="C108" s="216"/>
      <c r="D108" s="270"/>
      <c r="E108" s="89">
        <v>111</v>
      </c>
      <c r="F108" s="200"/>
      <c r="G108" s="527"/>
      <c r="H108" s="238" t="s">
        <v>243</v>
      </c>
      <c r="I108" s="433"/>
      <c r="J108" s="433"/>
      <c r="K108" s="433"/>
      <c r="L108" s="517"/>
    </row>
    <row r="109" spans="1:12" s="22" customFormat="1" ht="13.5">
      <c r="A109" s="88"/>
      <c r="B109" s="88"/>
      <c r="C109" s="216"/>
      <c r="D109" s="270"/>
      <c r="E109" s="89"/>
      <c r="F109" s="200" t="s">
        <v>601</v>
      </c>
      <c r="G109" s="54">
        <v>411000</v>
      </c>
      <c r="H109" s="20" t="s">
        <v>866</v>
      </c>
      <c r="I109" s="434">
        <f>I110</f>
        <v>11000000</v>
      </c>
      <c r="J109" s="434">
        <f>J110</f>
        <v>11000000</v>
      </c>
      <c r="K109" s="434">
        <f>K110</f>
        <v>4431800.21</v>
      </c>
      <c r="L109" s="517"/>
    </row>
    <row r="110" spans="1:12" ht="12.75">
      <c r="A110" s="86"/>
      <c r="B110" s="86"/>
      <c r="C110" s="216"/>
      <c r="D110" s="270"/>
      <c r="E110" s="87"/>
      <c r="F110" s="200" t="s">
        <v>979</v>
      </c>
      <c r="G110" s="35">
        <v>411100</v>
      </c>
      <c r="H110" s="4" t="s">
        <v>878</v>
      </c>
      <c r="I110" s="435">
        <v>11000000</v>
      </c>
      <c r="J110" s="435">
        <v>11000000</v>
      </c>
      <c r="K110" s="435">
        <v>4431800.21</v>
      </c>
      <c r="L110" s="517"/>
    </row>
    <row r="111" spans="1:12" s="22" customFormat="1" ht="13.5">
      <c r="A111" s="88"/>
      <c r="B111" s="88"/>
      <c r="C111" s="216"/>
      <c r="D111" s="270"/>
      <c r="E111" s="89"/>
      <c r="F111" s="200" t="s">
        <v>980</v>
      </c>
      <c r="G111" s="54">
        <v>412000</v>
      </c>
      <c r="H111" s="20" t="s">
        <v>801</v>
      </c>
      <c r="I111" s="434">
        <f>I112+I113+I114</f>
        <v>2050000</v>
      </c>
      <c r="J111" s="434">
        <f>J112+J113+J114</f>
        <v>2050000</v>
      </c>
      <c r="K111" s="434">
        <f>K112+K113+K114</f>
        <v>750164.32</v>
      </c>
      <c r="L111" s="517"/>
    </row>
    <row r="112" spans="1:12" ht="12.75">
      <c r="A112" s="86"/>
      <c r="B112" s="86"/>
      <c r="C112" s="216"/>
      <c r="D112" s="270"/>
      <c r="E112" s="87"/>
      <c r="F112" s="200" t="s">
        <v>981</v>
      </c>
      <c r="G112" s="35">
        <v>412100</v>
      </c>
      <c r="H112" s="4" t="s">
        <v>879</v>
      </c>
      <c r="I112" s="435">
        <v>1300000</v>
      </c>
      <c r="J112" s="435">
        <v>1300000</v>
      </c>
      <c r="K112" s="435">
        <v>516338.91</v>
      </c>
      <c r="L112" s="517"/>
    </row>
    <row r="113" spans="1:12" ht="12.75">
      <c r="A113" s="82"/>
      <c r="B113" s="82"/>
      <c r="C113" s="216"/>
      <c r="D113" s="270"/>
      <c r="E113" s="83"/>
      <c r="F113" s="200" t="s">
        <v>982</v>
      </c>
      <c r="G113" s="35">
        <v>412200</v>
      </c>
      <c r="H113" s="4" t="s">
        <v>880</v>
      </c>
      <c r="I113" s="435">
        <v>650000</v>
      </c>
      <c r="J113" s="435">
        <v>650000</v>
      </c>
      <c r="K113" s="435">
        <v>204101.83</v>
      </c>
      <c r="L113" s="517"/>
    </row>
    <row r="114" spans="1:12" ht="12.75">
      <c r="A114" s="82"/>
      <c r="B114" s="82"/>
      <c r="C114" s="216"/>
      <c r="D114" s="270"/>
      <c r="E114" s="83"/>
      <c r="F114" s="200" t="s">
        <v>983</v>
      </c>
      <c r="G114" s="35">
        <v>412300</v>
      </c>
      <c r="H114" s="4" t="s">
        <v>881</v>
      </c>
      <c r="I114" s="435">
        <v>100000</v>
      </c>
      <c r="J114" s="435">
        <v>100000</v>
      </c>
      <c r="K114" s="435">
        <v>29723.58</v>
      </c>
      <c r="L114" s="517"/>
    </row>
    <row r="115" spans="1:12" s="22" customFormat="1" ht="13.5">
      <c r="A115" s="88"/>
      <c r="B115" s="88"/>
      <c r="C115" s="216"/>
      <c r="D115" s="270"/>
      <c r="E115" s="89"/>
      <c r="F115" s="200" t="s">
        <v>984</v>
      </c>
      <c r="G115" s="54">
        <v>415000</v>
      </c>
      <c r="H115" s="239" t="s">
        <v>852</v>
      </c>
      <c r="I115" s="434">
        <f>I116</f>
        <v>170000</v>
      </c>
      <c r="J115" s="434">
        <f>J116</f>
        <v>170000</v>
      </c>
      <c r="K115" s="434">
        <f>K116</f>
        <v>74560</v>
      </c>
      <c r="L115" s="517"/>
    </row>
    <row r="116" spans="1:12" ht="12.75">
      <c r="A116" s="86"/>
      <c r="B116" s="86"/>
      <c r="C116" s="216"/>
      <c r="D116" s="270"/>
      <c r="E116" s="87"/>
      <c r="F116" s="200" t="s">
        <v>985</v>
      </c>
      <c r="G116" s="35">
        <v>415100</v>
      </c>
      <c r="H116" s="52" t="s">
        <v>852</v>
      </c>
      <c r="I116" s="435">
        <v>170000</v>
      </c>
      <c r="J116" s="435">
        <v>170000</v>
      </c>
      <c r="K116" s="435">
        <v>74560</v>
      </c>
      <c r="L116" s="517"/>
    </row>
    <row r="117" spans="1:12" s="22" customFormat="1" ht="13.5">
      <c r="A117" s="88"/>
      <c r="B117" s="88"/>
      <c r="C117" s="216"/>
      <c r="D117" s="270"/>
      <c r="E117" s="89"/>
      <c r="F117" s="200" t="s">
        <v>986</v>
      </c>
      <c r="G117" s="54">
        <v>422000</v>
      </c>
      <c r="H117" s="20" t="s">
        <v>793</v>
      </c>
      <c r="I117" s="434">
        <f>I118+I119</f>
        <v>500000</v>
      </c>
      <c r="J117" s="434">
        <f>J118+J119</f>
        <v>500000</v>
      </c>
      <c r="K117" s="434">
        <f>K118+K119</f>
        <v>7380.79</v>
      </c>
      <c r="L117" s="517"/>
    </row>
    <row r="118" spans="1:12" ht="12.75">
      <c r="A118" s="86"/>
      <c r="B118" s="86"/>
      <c r="C118" s="216"/>
      <c r="D118" s="270"/>
      <c r="E118" s="87"/>
      <c r="F118" s="200" t="s">
        <v>987</v>
      </c>
      <c r="G118" s="35">
        <v>422100</v>
      </c>
      <c r="H118" s="4" t="s">
        <v>899</v>
      </c>
      <c r="I118" s="435">
        <v>300000</v>
      </c>
      <c r="J118" s="435">
        <v>300000</v>
      </c>
      <c r="K118" s="435">
        <v>7380.79</v>
      </c>
      <c r="L118" s="517"/>
    </row>
    <row r="119" spans="1:12" ht="12.75">
      <c r="A119" s="82"/>
      <c r="B119" s="82"/>
      <c r="C119" s="216"/>
      <c r="D119" s="270"/>
      <c r="E119" s="83"/>
      <c r="F119" s="200" t="s">
        <v>988</v>
      </c>
      <c r="G119" s="35">
        <v>422200</v>
      </c>
      <c r="H119" s="4" t="s">
        <v>900</v>
      </c>
      <c r="I119" s="435">
        <v>200000</v>
      </c>
      <c r="J119" s="435">
        <v>200000</v>
      </c>
      <c r="K119" s="435">
        <v>0</v>
      </c>
      <c r="L119" s="517"/>
    </row>
    <row r="120" spans="1:12" s="22" customFormat="1" ht="13.5">
      <c r="A120" s="88"/>
      <c r="B120" s="88"/>
      <c r="C120" s="216"/>
      <c r="D120" s="270"/>
      <c r="E120" s="89"/>
      <c r="F120" s="200" t="s">
        <v>989</v>
      </c>
      <c r="G120" s="54">
        <v>423000</v>
      </c>
      <c r="H120" s="20" t="s">
        <v>794</v>
      </c>
      <c r="I120" s="434">
        <f>I121</f>
        <v>1000000</v>
      </c>
      <c r="J120" s="434">
        <f>J121</f>
        <v>1000000</v>
      </c>
      <c r="K120" s="434">
        <f>K121</f>
        <v>374742.24</v>
      </c>
      <c r="L120" s="517"/>
    </row>
    <row r="121" spans="1:12" ht="12.75">
      <c r="A121" s="82"/>
      <c r="B121" s="82"/>
      <c r="C121" s="216"/>
      <c r="D121" s="270"/>
      <c r="E121" s="83"/>
      <c r="F121" s="200" t="s">
        <v>990</v>
      </c>
      <c r="G121" s="35">
        <v>423500</v>
      </c>
      <c r="H121" s="4" t="s">
        <v>903</v>
      </c>
      <c r="I121" s="435">
        <v>1000000</v>
      </c>
      <c r="J121" s="435">
        <v>1000000</v>
      </c>
      <c r="K121" s="435">
        <v>374742.24</v>
      </c>
      <c r="L121" s="517"/>
    </row>
    <row r="122" spans="1:12" s="22" customFormat="1" ht="13.5">
      <c r="A122" s="88"/>
      <c r="B122" s="88"/>
      <c r="C122" s="216"/>
      <c r="D122" s="270"/>
      <c r="E122" s="89"/>
      <c r="F122" s="200" t="s">
        <v>991</v>
      </c>
      <c r="G122" s="528">
        <v>424000</v>
      </c>
      <c r="H122" s="20" t="s">
        <v>800</v>
      </c>
      <c r="I122" s="434">
        <f>I123</f>
        <v>4700000</v>
      </c>
      <c r="J122" s="434">
        <f>J123</f>
        <v>4700000</v>
      </c>
      <c r="K122" s="434">
        <f>K123</f>
        <v>0</v>
      </c>
      <c r="L122" s="517"/>
    </row>
    <row r="123" spans="1:12" ht="25.5">
      <c r="A123" s="86"/>
      <c r="B123" s="86"/>
      <c r="C123" s="216"/>
      <c r="D123" s="270"/>
      <c r="E123" s="87"/>
      <c r="F123" s="200" t="s">
        <v>992</v>
      </c>
      <c r="G123" s="524">
        <v>424600</v>
      </c>
      <c r="H123" s="5" t="s">
        <v>908</v>
      </c>
      <c r="I123" s="435">
        <v>4700000</v>
      </c>
      <c r="J123" s="435">
        <v>4700000</v>
      </c>
      <c r="K123" s="435"/>
      <c r="L123" s="517"/>
    </row>
    <row r="124" spans="1:12" s="22" customFormat="1" ht="15" customHeight="1">
      <c r="A124" s="88"/>
      <c r="B124" s="88"/>
      <c r="C124" s="216"/>
      <c r="D124" s="270"/>
      <c r="E124" s="89"/>
      <c r="F124" s="200" t="s">
        <v>993</v>
      </c>
      <c r="G124" s="529" t="s">
        <v>381</v>
      </c>
      <c r="H124" s="41" t="s">
        <v>384</v>
      </c>
      <c r="I124" s="436">
        <f>I125</f>
        <v>1350000</v>
      </c>
      <c r="J124" s="436">
        <f>J125</f>
        <v>1350000</v>
      </c>
      <c r="K124" s="436">
        <f>K125</f>
        <v>613303.98</v>
      </c>
      <c r="L124" s="517"/>
    </row>
    <row r="125" spans="1:12" ht="12.75">
      <c r="A125" s="82"/>
      <c r="B125" s="82"/>
      <c r="C125" s="216"/>
      <c r="D125" s="270"/>
      <c r="E125" s="83"/>
      <c r="F125" s="200" t="s">
        <v>994</v>
      </c>
      <c r="G125" s="524" t="s">
        <v>382</v>
      </c>
      <c r="H125" s="5" t="s">
        <v>383</v>
      </c>
      <c r="I125" s="435">
        <v>1350000</v>
      </c>
      <c r="J125" s="435">
        <v>1350000</v>
      </c>
      <c r="K125" s="435">
        <v>613303.98</v>
      </c>
      <c r="L125" s="517"/>
    </row>
    <row r="126" spans="1:12" ht="12.75">
      <c r="A126" s="474"/>
      <c r="B126" s="474"/>
      <c r="C126" s="482"/>
      <c r="D126" s="476"/>
      <c r="E126" s="477"/>
      <c r="F126" s="478"/>
      <c r="G126" s="479"/>
      <c r="H126" s="480" t="s">
        <v>653</v>
      </c>
      <c r="I126" s="481">
        <f>I109+I111+I115+I117+I120+I122+I124</f>
        <v>20770000</v>
      </c>
      <c r="J126" s="481">
        <f>J109+J111+J115+J117+J120+J122+J124</f>
        <v>20770000</v>
      </c>
      <c r="K126" s="603">
        <f>K109+K111+K115+K117+K120+K122+K124</f>
        <v>6251951.540000001</v>
      </c>
      <c r="L126" s="517"/>
    </row>
    <row r="127" spans="1:12" ht="13.5" thickBot="1">
      <c r="A127" s="294"/>
      <c r="B127" s="294"/>
      <c r="C127" s="303"/>
      <c r="D127" s="296"/>
      <c r="E127" s="297"/>
      <c r="F127" s="298"/>
      <c r="G127" s="299"/>
      <c r="H127" s="300"/>
      <c r="I127" s="442"/>
      <c r="J127" s="442"/>
      <c r="K127" s="442"/>
      <c r="L127" s="517"/>
    </row>
    <row r="128" spans="1:12" s="22" customFormat="1" ht="16.5" thickBot="1" thickTop="1">
      <c r="A128" s="112">
        <v>4</v>
      </c>
      <c r="B128" s="112">
        <v>1</v>
      </c>
      <c r="C128" s="224">
        <v>91760</v>
      </c>
      <c r="D128" s="271"/>
      <c r="E128" s="113"/>
      <c r="F128" s="201"/>
      <c r="G128" s="532"/>
      <c r="H128" s="109" t="s">
        <v>441</v>
      </c>
      <c r="I128" s="443"/>
      <c r="J128" s="443"/>
      <c r="K128" s="443"/>
      <c r="L128" s="517"/>
    </row>
    <row r="129" spans="1:12" s="22" customFormat="1" ht="12.75" customHeight="1" thickTop="1">
      <c r="A129" s="283"/>
      <c r="B129" s="283"/>
      <c r="C129" s="302"/>
      <c r="D129" s="285" t="s">
        <v>528</v>
      </c>
      <c r="E129" s="286"/>
      <c r="F129" s="301"/>
      <c r="G129" s="526"/>
      <c r="H129" s="288" t="s">
        <v>527</v>
      </c>
      <c r="I129" s="431"/>
      <c r="J129" s="431"/>
      <c r="K129" s="431"/>
      <c r="L129" s="517"/>
    </row>
    <row r="130" spans="1:12" s="22" customFormat="1" ht="17.25" customHeight="1">
      <c r="A130" s="88"/>
      <c r="B130" s="88"/>
      <c r="C130" s="216"/>
      <c r="D130" s="274" t="s">
        <v>538</v>
      </c>
      <c r="E130" s="89"/>
      <c r="F130" s="200"/>
      <c r="G130" s="527"/>
      <c r="H130" s="125" t="s">
        <v>539</v>
      </c>
      <c r="I130" s="432"/>
      <c r="J130" s="432"/>
      <c r="K130" s="432"/>
      <c r="L130" s="517"/>
    </row>
    <row r="131" spans="1:12" s="29" customFormat="1" ht="13.5">
      <c r="A131" s="88"/>
      <c r="B131" s="88"/>
      <c r="C131" s="216"/>
      <c r="D131" s="270"/>
      <c r="E131" s="89">
        <v>330</v>
      </c>
      <c r="F131" s="200"/>
      <c r="G131" s="241"/>
      <c r="H131" s="238" t="s">
        <v>320</v>
      </c>
      <c r="I131" s="444"/>
      <c r="J131" s="444"/>
      <c r="K131" s="444"/>
      <c r="L131" s="517"/>
    </row>
    <row r="132" spans="1:12" s="28" customFormat="1" ht="14.25" customHeight="1">
      <c r="A132" s="88"/>
      <c r="B132" s="88"/>
      <c r="C132" s="216"/>
      <c r="D132" s="270"/>
      <c r="E132" s="89"/>
      <c r="F132" s="200" t="s">
        <v>995</v>
      </c>
      <c r="G132" s="54">
        <v>411000</v>
      </c>
      <c r="H132" s="20" t="s">
        <v>866</v>
      </c>
      <c r="I132" s="434">
        <f>I133</f>
        <v>2200000</v>
      </c>
      <c r="J132" s="434">
        <f>J133</f>
        <v>2200000</v>
      </c>
      <c r="K132" s="434">
        <f>K133</f>
        <v>1003582.42</v>
      </c>
      <c r="L132" s="517"/>
    </row>
    <row r="133" spans="1:12" ht="12.75">
      <c r="A133" s="86"/>
      <c r="B133" s="86"/>
      <c r="C133" s="216"/>
      <c r="D133" s="270"/>
      <c r="E133" s="87"/>
      <c r="F133" s="200" t="s">
        <v>996</v>
      </c>
      <c r="G133" s="35">
        <v>411100</v>
      </c>
      <c r="H133" s="4" t="s">
        <v>878</v>
      </c>
      <c r="I133" s="435">
        <v>2200000</v>
      </c>
      <c r="J133" s="435">
        <v>2200000</v>
      </c>
      <c r="K133" s="435">
        <v>1003582.42</v>
      </c>
      <c r="L133" s="517"/>
    </row>
    <row r="134" spans="1:12" s="22" customFormat="1" ht="13.5">
      <c r="A134" s="88"/>
      <c r="B134" s="88"/>
      <c r="C134" s="216"/>
      <c r="D134" s="270"/>
      <c r="E134" s="89"/>
      <c r="F134" s="200" t="s">
        <v>997</v>
      </c>
      <c r="G134" s="54">
        <v>412000</v>
      </c>
      <c r="H134" s="20" t="s">
        <v>801</v>
      </c>
      <c r="I134" s="434">
        <f>I135+I136+I137</f>
        <v>397000</v>
      </c>
      <c r="J134" s="434">
        <f>J135+J136+J137</f>
        <v>397000</v>
      </c>
      <c r="K134" s="434">
        <f>K135+K136+K137</f>
        <v>179641.28000000003</v>
      </c>
      <c r="L134" s="517"/>
    </row>
    <row r="135" spans="1:12" ht="12.75">
      <c r="A135" s="86"/>
      <c r="B135" s="86"/>
      <c r="C135" s="216"/>
      <c r="D135" s="270"/>
      <c r="E135" s="87"/>
      <c r="F135" s="200" t="s">
        <v>998</v>
      </c>
      <c r="G135" s="35">
        <v>412100</v>
      </c>
      <c r="H135" s="4" t="s">
        <v>879</v>
      </c>
      <c r="I135" s="435">
        <v>250000</v>
      </c>
      <c r="J135" s="435">
        <v>250000</v>
      </c>
      <c r="K135" s="435">
        <v>120429.92</v>
      </c>
      <c r="L135" s="517"/>
    </row>
    <row r="136" spans="1:12" ht="12.75">
      <c r="A136" s="82"/>
      <c r="B136" s="82"/>
      <c r="C136" s="216"/>
      <c r="D136" s="270"/>
      <c r="E136" s="83"/>
      <c r="F136" s="200" t="s">
        <v>999</v>
      </c>
      <c r="G136" s="35">
        <v>412200</v>
      </c>
      <c r="H136" s="4" t="s">
        <v>880</v>
      </c>
      <c r="I136" s="435">
        <v>130000</v>
      </c>
      <c r="J136" s="435">
        <v>130000</v>
      </c>
      <c r="K136" s="435">
        <v>51684.47</v>
      </c>
      <c r="L136" s="517"/>
    </row>
    <row r="137" spans="1:12" ht="12.75">
      <c r="A137" s="82"/>
      <c r="B137" s="82"/>
      <c r="C137" s="216"/>
      <c r="D137" s="270"/>
      <c r="E137" s="83"/>
      <c r="F137" s="200" t="s">
        <v>1000</v>
      </c>
      <c r="G137" s="35">
        <v>412300</v>
      </c>
      <c r="H137" s="4" t="s">
        <v>881</v>
      </c>
      <c r="I137" s="435">
        <v>17000</v>
      </c>
      <c r="J137" s="435">
        <v>17000</v>
      </c>
      <c r="K137" s="435">
        <v>7526.89</v>
      </c>
      <c r="L137" s="517"/>
    </row>
    <row r="138" spans="1:12" s="22" customFormat="1" ht="13.5">
      <c r="A138" s="88"/>
      <c r="B138" s="88"/>
      <c r="C138" s="216"/>
      <c r="D138" s="270"/>
      <c r="E138" s="89"/>
      <c r="F138" s="200" t="s">
        <v>1001</v>
      </c>
      <c r="G138" s="54">
        <v>414000</v>
      </c>
      <c r="H138" s="20" t="s">
        <v>792</v>
      </c>
      <c r="I138" s="434">
        <f>I139</f>
        <v>300000</v>
      </c>
      <c r="J138" s="434">
        <f>J139</f>
        <v>300000</v>
      </c>
      <c r="K138" s="434">
        <f>K139</f>
        <v>0</v>
      </c>
      <c r="L138" s="517"/>
    </row>
    <row r="139" spans="1:12" ht="25.5">
      <c r="A139" s="86"/>
      <c r="B139" s="86"/>
      <c r="C139" s="216"/>
      <c r="D139" s="270"/>
      <c r="E139" s="87"/>
      <c r="F139" s="200" t="s">
        <v>1002</v>
      </c>
      <c r="G139" s="35" t="s">
        <v>365</v>
      </c>
      <c r="H139" s="4" t="s">
        <v>22</v>
      </c>
      <c r="I139" s="435">
        <v>300000</v>
      </c>
      <c r="J139" s="435">
        <v>300000</v>
      </c>
      <c r="K139" s="435">
        <v>0</v>
      </c>
      <c r="L139" s="517"/>
    </row>
    <row r="140" spans="1:12" s="22" customFormat="1" ht="13.5">
      <c r="A140" s="88"/>
      <c r="B140" s="88"/>
      <c r="C140" s="216"/>
      <c r="D140" s="270"/>
      <c r="E140" s="89"/>
      <c r="F140" s="200" t="s">
        <v>1003</v>
      </c>
      <c r="G140" s="54">
        <v>415000</v>
      </c>
      <c r="H140" s="239" t="s">
        <v>852</v>
      </c>
      <c r="I140" s="434">
        <f>I141</f>
        <v>115000</v>
      </c>
      <c r="J140" s="434">
        <f>J141</f>
        <v>115000</v>
      </c>
      <c r="K140" s="434">
        <f>K141</f>
        <v>54102</v>
      </c>
      <c r="L140" s="517"/>
    </row>
    <row r="141" spans="1:12" ht="12.75">
      <c r="A141" s="86"/>
      <c r="B141" s="86"/>
      <c r="C141" s="216"/>
      <c r="D141" s="270"/>
      <c r="E141" s="87"/>
      <c r="F141" s="200" t="s">
        <v>1004</v>
      </c>
      <c r="G141" s="35">
        <v>415100</v>
      </c>
      <c r="H141" s="52" t="s">
        <v>852</v>
      </c>
      <c r="I141" s="435">
        <v>115000</v>
      </c>
      <c r="J141" s="435">
        <v>115000</v>
      </c>
      <c r="K141" s="435">
        <v>54102</v>
      </c>
      <c r="L141" s="517"/>
    </row>
    <row r="142" spans="1:12" s="22" customFormat="1" ht="13.5">
      <c r="A142" s="88"/>
      <c r="B142" s="88"/>
      <c r="C142" s="216"/>
      <c r="D142" s="270"/>
      <c r="E142" s="89"/>
      <c r="F142" s="200" t="s">
        <v>1005</v>
      </c>
      <c r="G142" s="54">
        <v>422000</v>
      </c>
      <c r="H142" s="20" t="s">
        <v>793</v>
      </c>
      <c r="I142" s="434">
        <f>I143</f>
        <v>20000</v>
      </c>
      <c r="J142" s="434">
        <f>J143</f>
        <v>20000</v>
      </c>
      <c r="K142" s="434">
        <f>K143</f>
        <v>0</v>
      </c>
      <c r="L142" s="517"/>
    </row>
    <row r="143" spans="1:12" ht="12.75">
      <c r="A143" s="86"/>
      <c r="B143" s="86"/>
      <c r="C143" s="216"/>
      <c r="D143" s="270"/>
      <c r="E143" s="87"/>
      <c r="F143" s="200" t="s">
        <v>1006</v>
      </c>
      <c r="G143" s="35">
        <v>422100</v>
      </c>
      <c r="H143" s="4" t="s">
        <v>899</v>
      </c>
      <c r="I143" s="435">
        <v>20000</v>
      </c>
      <c r="J143" s="435">
        <v>20000</v>
      </c>
      <c r="K143" s="435">
        <v>0</v>
      </c>
      <c r="L143" s="517"/>
    </row>
    <row r="144" spans="1:12" s="22" customFormat="1" ht="13.5">
      <c r="A144" s="88"/>
      <c r="B144" s="88"/>
      <c r="C144" s="216"/>
      <c r="D144" s="270"/>
      <c r="E144" s="89"/>
      <c r="F144" s="200" t="s">
        <v>1007</v>
      </c>
      <c r="G144" s="54">
        <v>423000</v>
      </c>
      <c r="H144" s="20" t="s">
        <v>794</v>
      </c>
      <c r="I144" s="434">
        <f>I145</f>
        <v>15000</v>
      </c>
      <c r="J144" s="434">
        <f>J145</f>
        <v>15000</v>
      </c>
      <c r="K144" s="434">
        <f>K145</f>
        <v>0</v>
      </c>
      <c r="L144" s="517"/>
    </row>
    <row r="145" spans="1:12" ht="12.75">
      <c r="A145" s="86"/>
      <c r="B145" s="86"/>
      <c r="C145" s="216"/>
      <c r="D145" s="270"/>
      <c r="E145" s="87"/>
      <c r="F145" s="200" t="s">
        <v>1008</v>
      </c>
      <c r="G145" s="524">
        <v>423200</v>
      </c>
      <c r="H145" s="4" t="s">
        <v>901</v>
      </c>
      <c r="I145" s="435">
        <v>15000</v>
      </c>
      <c r="J145" s="435">
        <v>15000</v>
      </c>
      <c r="K145" s="435">
        <v>0</v>
      </c>
      <c r="L145" s="517"/>
    </row>
    <row r="146" spans="1:12" s="22" customFormat="1" ht="13.5">
      <c r="A146" s="88"/>
      <c r="B146" s="88"/>
      <c r="C146" s="216"/>
      <c r="D146" s="270"/>
      <c r="E146" s="89"/>
      <c r="F146" s="200" t="s">
        <v>1009</v>
      </c>
      <c r="G146" s="528">
        <v>426000</v>
      </c>
      <c r="H146" s="20" t="s">
        <v>795</v>
      </c>
      <c r="I146" s="434">
        <f>I147</f>
        <v>200000</v>
      </c>
      <c r="J146" s="434">
        <f>J147</f>
        <v>200000</v>
      </c>
      <c r="K146" s="434">
        <f>K147</f>
        <v>0</v>
      </c>
      <c r="L146" s="517"/>
    </row>
    <row r="147" spans="1:12" ht="12.75">
      <c r="A147" s="86"/>
      <c r="B147" s="86"/>
      <c r="C147" s="216"/>
      <c r="D147" s="270"/>
      <c r="E147" s="87"/>
      <c r="F147" s="200" t="s">
        <v>1010</v>
      </c>
      <c r="G147" s="524">
        <v>426100</v>
      </c>
      <c r="H147" s="4" t="s">
        <v>911</v>
      </c>
      <c r="I147" s="435">
        <v>200000</v>
      </c>
      <c r="J147" s="435">
        <v>200000</v>
      </c>
      <c r="K147" s="435">
        <v>0</v>
      </c>
      <c r="L147" s="517"/>
    </row>
    <row r="148" spans="1:12" s="22" customFormat="1" ht="12.75">
      <c r="A148" s="88"/>
      <c r="B148" s="88"/>
      <c r="C148" s="216"/>
      <c r="D148" s="270"/>
      <c r="E148" s="89"/>
      <c r="F148" s="200" t="s">
        <v>1011</v>
      </c>
      <c r="G148" s="529" t="s">
        <v>381</v>
      </c>
      <c r="H148" s="41" t="s">
        <v>384</v>
      </c>
      <c r="I148" s="436">
        <f>I149</f>
        <v>288000</v>
      </c>
      <c r="J148" s="436">
        <f>J149</f>
        <v>288000</v>
      </c>
      <c r="K148" s="436">
        <f>K149</f>
        <v>126205.38</v>
      </c>
      <c r="L148" s="517"/>
    </row>
    <row r="149" spans="1:12" ht="12.75">
      <c r="A149" s="82"/>
      <c r="B149" s="82"/>
      <c r="C149" s="216"/>
      <c r="D149" s="270"/>
      <c r="E149" s="83"/>
      <c r="F149" s="200" t="s">
        <v>1012</v>
      </c>
      <c r="G149" s="524" t="s">
        <v>382</v>
      </c>
      <c r="H149" s="5" t="s">
        <v>383</v>
      </c>
      <c r="I149" s="435">
        <v>288000</v>
      </c>
      <c r="J149" s="435">
        <v>288000</v>
      </c>
      <c r="K149" s="435">
        <v>126205.38</v>
      </c>
      <c r="L149" s="517"/>
    </row>
    <row r="150" spans="1:12" s="36" customFormat="1" ht="12.75">
      <c r="A150" s="474"/>
      <c r="B150" s="474"/>
      <c r="C150" s="482"/>
      <c r="D150" s="476"/>
      <c r="E150" s="477"/>
      <c r="F150" s="478"/>
      <c r="G150" s="479"/>
      <c r="H150" s="480" t="s">
        <v>654</v>
      </c>
      <c r="I150" s="481">
        <f>I132+I134+I138+I140+I142+I144+I146+I148</f>
        <v>3535000</v>
      </c>
      <c r="J150" s="481">
        <f>J132+J134+J138+J140+J142+J144+J146+J148</f>
        <v>3535000</v>
      </c>
      <c r="K150" s="603">
        <f>K132+K134+K138+K140+K142+K144+K146+K148</f>
        <v>1363531.08</v>
      </c>
      <c r="L150" s="517"/>
    </row>
    <row r="151" spans="1:12" ht="12.75">
      <c r="A151" s="86"/>
      <c r="B151" s="86"/>
      <c r="C151" s="216"/>
      <c r="D151" s="270"/>
      <c r="E151" s="87"/>
      <c r="F151" s="200"/>
      <c r="G151" s="524"/>
      <c r="H151" s="6"/>
      <c r="I151" s="435"/>
      <c r="J151" s="435"/>
      <c r="K151" s="435"/>
      <c r="L151" s="517"/>
    </row>
    <row r="152" spans="1:12" ht="13.5" thickBot="1">
      <c r="A152" s="294"/>
      <c r="B152" s="294"/>
      <c r="C152" s="303"/>
      <c r="D152" s="296"/>
      <c r="E152" s="297"/>
      <c r="F152" s="298"/>
      <c r="G152" s="299"/>
      <c r="H152" s="304"/>
      <c r="I152" s="440"/>
      <c r="J152" s="440"/>
      <c r="K152" s="440"/>
      <c r="L152" s="517"/>
    </row>
    <row r="153" spans="1:12" s="22" customFormat="1" ht="16.5" customHeight="1" thickBot="1" thickTop="1">
      <c r="A153" s="114">
        <v>5</v>
      </c>
      <c r="B153" s="114"/>
      <c r="C153" s="202" t="s">
        <v>180</v>
      </c>
      <c r="D153" s="272"/>
      <c r="E153" s="115"/>
      <c r="F153" s="202"/>
      <c r="G153" s="533"/>
      <c r="H153" s="109" t="s">
        <v>302</v>
      </c>
      <c r="I153" s="445"/>
      <c r="J153" s="445"/>
      <c r="K153" s="445"/>
      <c r="L153" s="517"/>
    </row>
    <row r="154" spans="1:12" s="22" customFormat="1" ht="12.75" customHeight="1" thickTop="1">
      <c r="A154" s="283"/>
      <c r="B154" s="283">
        <v>1</v>
      </c>
      <c r="C154" s="284"/>
      <c r="D154" s="305"/>
      <c r="E154" s="286"/>
      <c r="F154" s="301"/>
      <c r="G154" s="526"/>
      <c r="H154" s="306" t="s">
        <v>242</v>
      </c>
      <c r="I154" s="446"/>
      <c r="J154" s="446"/>
      <c r="K154" s="446"/>
      <c r="L154" s="517"/>
    </row>
    <row r="155" spans="1:12" s="22" customFormat="1" ht="12.75" customHeight="1">
      <c r="A155" s="88"/>
      <c r="B155" s="88"/>
      <c r="C155" s="214"/>
      <c r="D155" s="274" t="s">
        <v>528</v>
      </c>
      <c r="E155" s="89"/>
      <c r="F155" s="200"/>
      <c r="G155" s="527"/>
      <c r="H155" s="92" t="s">
        <v>527</v>
      </c>
      <c r="I155" s="432"/>
      <c r="J155" s="432"/>
      <c r="K155" s="432"/>
      <c r="L155" s="517"/>
    </row>
    <row r="156" spans="1:12" s="22" customFormat="1" ht="38.25" customHeight="1">
      <c r="A156" s="88"/>
      <c r="B156" s="88"/>
      <c r="C156" s="214"/>
      <c r="D156" s="274" t="s">
        <v>529</v>
      </c>
      <c r="E156" s="89"/>
      <c r="F156" s="200"/>
      <c r="G156" s="527"/>
      <c r="H156" s="125" t="s">
        <v>526</v>
      </c>
      <c r="I156" s="432"/>
      <c r="J156" s="432"/>
      <c r="K156" s="432"/>
      <c r="L156" s="517"/>
    </row>
    <row r="157" spans="1:12" s="22" customFormat="1" ht="12.75" customHeight="1">
      <c r="A157" s="88"/>
      <c r="B157" s="88"/>
      <c r="C157" s="214"/>
      <c r="D157" s="270"/>
      <c r="E157" s="89">
        <v>130</v>
      </c>
      <c r="F157" s="200"/>
      <c r="G157" s="241"/>
      <c r="H157" s="238" t="s">
        <v>826</v>
      </c>
      <c r="I157" s="444"/>
      <c r="J157" s="444"/>
      <c r="K157" s="444"/>
      <c r="L157" s="517"/>
    </row>
    <row r="158" spans="1:12" s="22" customFormat="1" ht="13.5">
      <c r="A158" s="88"/>
      <c r="B158" s="88"/>
      <c r="C158" s="214"/>
      <c r="D158" s="270"/>
      <c r="E158" s="89"/>
      <c r="F158" s="200" t="s">
        <v>1013</v>
      </c>
      <c r="G158" s="54">
        <v>411000</v>
      </c>
      <c r="H158" s="20" t="s">
        <v>866</v>
      </c>
      <c r="I158" s="434">
        <f>I159</f>
        <v>106000000</v>
      </c>
      <c r="J158" s="434">
        <f>J159</f>
        <v>100700000</v>
      </c>
      <c r="K158" s="434">
        <f>K159</f>
        <v>50257018.36</v>
      </c>
      <c r="L158" s="517"/>
    </row>
    <row r="159" spans="1:12" ht="12.75">
      <c r="A159" s="86"/>
      <c r="B159" s="86"/>
      <c r="C159" s="214"/>
      <c r="D159" s="270"/>
      <c r="E159" s="87"/>
      <c r="F159" s="200" t="s">
        <v>1014</v>
      </c>
      <c r="G159" s="35">
        <v>411100</v>
      </c>
      <c r="H159" s="4" t="s">
        <v>878</v>
      </c>
      <c r="I159" s="435">
        <v>106000000</v>
      </c>
      <c r="J159" s="688">
        <v>100700000</v>
      </c>
      <c r="K159" s="435">
        <v>50257018.36</v>
      </c>
      <c r="L159" s="517"/>
    </row>
    <row r="160" spans="1:12" s="22" customFormat="1" ht="13.5">
      <c r="A160" s="88"/>
      <c r="B160" s="88"/>
      <c r="C160" s="214"/>
      <c r="D160" s="270"/>
      <c r="E160" s="89"/>
      <c r="F160" s="200" t="s">
        <v>1015</v>
      </c>
      <c r="G160" s="54">
        <v>412000</v>
      </c>
      <c r="H160" s="20" t="s">
        <v>801</v>
      </c>
      <c r="I160" s="434">
        <f>I161+I162+I163</f>
        <v>20050000</v>
      </c>
      <c r="J160" s="434">
        <f>J161+J162+J163</f>
        <v>20050000</v>
      </c>
      <c r="K160" s="434">
        <f>K161+K162+K163</f>
        <v>8995755.6</v>
      </c>
      <c r="L160" s="517"/>
    </row>
    <row r="161" spans="1:12" ht="12.75">
      <c r="A161" s="86"/>
      <c r="B161" s="86"/>
      <c r="C161" s="214"/>
      <c r="D161" s="270"/>
      <c r="E161" s="87"/>
      <c r="F161" s="200" t="s">
        <v>1016</v>
      </c>
      <c r="G161" s="35">
        <v>412100</v>
      </c>
      <c r="H161" s="4" t="s">
        <v>879</v>
      </c>
      <c r="I161" s="435">
        <v>13000000</v>
      </c>
      <c r="J161" s="435">
        <v>13000000</v>
      </c>
      <c r="K161" s="435">
        <v>6030674.14</v>
      </c>
      <c r="L161" s="517"/>
    </row>
    <row r="162" spans="1:12" ht="12.75">
      <c r="A162" s="82"/>
      <c r="B162" s="82"/>
      <c r="C162" s="214"/>
      <c r="D162" s="270"/>
      <c r="E162" s="83"/>
      <c r="F162" s="200" t="s">
        <v>1017</v>
      </c>
      <c r="G162" s="35">
        <v>412200</v>
      </c>
      <c r="H162" s="4" t="s">
        <v>880</v>
      </c>
      <c r="I162" s="435">
        <v>6200000</v>
      </c>
      <c r="J162" s="435">
        <v>6200000</v>
      </c>
      <c r="K162" s="435">
        <v>2588164.32</v>
      </c>
      <c r="L162" s="517"/>
    </row>
    <row r="163" spans="1:12" ht="12.75">
      <c r="A163" s="82"/>
      <c r="B163" s="82"/>
      <c r="C163" s="214"/>
      <c r="D163" s="270"/>
      <c r="E163" s="83"/>
      <c r="F163" s="200" t="s">
        <v>1018</v>
      </c>
      <c r="G163" s="35">
        <v>412300</v>
      </c>
      <c r="H163" s="4" t="s">
        <v>881</v>
      </c>
      <c r="I163" s="435">
        <v>850000</v>
      </c>
      <c r="J163" s="435">
        <v>850000</v>
      </c>
      <c r="K163" s="435">
        <v>376917.14</v>
      </c>
      <c r="L163" s="517"/>
    </row>
    <row r="164" spans="1:12" s="22" customFormat="1" ht="13.5">
      <c r="A164" s="88"/>
      <c r="B164" s="88"/>
      <c r="C164" s="214"/>
      <c r="D164" s="270"/>
      <c r="E164" s="89"/>
      <c r="F164" s="200" t="s">
        <v>1019</v>
      </c>
      <c r="G164" s="54">
        <v>414000</v>
      </c>
      <c r="H164" s="20" t="s">
        <v>792</v>
      </c>
      <c r="I164" s="434">
        <f>I165+I166+I167</f>
        <v>11000000</v>
      </c>
      <c r="J164" s="434">
        <f>J165+J166+J167</f>
        <v>11000000</v>
      </c>
      <c r="K164" s="434">
        <f>K165+K166+K167</f>
        <v>2001344.5799999998</v>
      </c>
      <c r="L164" s="517"/>
    </row>
    <row r="165" spans="1:12" ht="12.75">
      <c r="A165" s="86"/>
      <c r="B165" s="86"/>
      <c r="C165" s="214"/>
      <c r="D165" s="270"/>
      <c r="E165" s="87"/>
      <c r="F165" s="200" t="s">
        <v>1020</v>
      </c>
      <c r="G165" s="35">
        <v>414100</v>
      </c>
      <c r="H165" s="4" t="s">
        <v>892</v>
      </c>
      <c r="I165" s="435">
        <v>500000</v>
      </c>
      <c r="J165" s="435">
        <v>500000</v>
      </c>
      <c r="K165" s="435">
        <v>158457.25</v>
      </c>
      <c r="L165" s="517"/>
    </row>
    <row r="166" spans="1:12" ht="12.75">
      <c r="A166" s="82"/>
      <c r="B166" s="82"/>
      <c r="C166" s="214"/>
      <c r="D166" s="270"/>
      <c r="E166" s="83"/>
      <c r="F166" s="200" t="s">
        <v>1021</v>
      </c>
      <c r="G166" s="35">
        <v>414300</v>
      </c>
      <c r="H166" s="4" t="s">
        <v>893</v>
      </c>
      <c r="I166" s="435">
        <v>10000000</v>
      </c>
      <c r="J166" s="658">
        <v>10000000</v>
      </c>
      <c r="K166" s="435">
        <v>1542624.67</v>
      </c>
      <c r="L166" s="517"/>
    </row>
    <row r="167" spans="1:12" ht="12.75">
      <c r="A167" s="82"/>
      <c r="B167" s="82"/>
      <c r="C167" s="214"/>
      <c r="D167" s="270"/>
      <c r="E167" s="83"/>
      <c r="F167" s="200" t="s">
        <v>1022</v>
      </c>
      <c r="G167" s="35">
        <v>414400</v>
      </c>
      <c r="H167" s="4" t="s">
        <v>938</v>
      </c>
      <c r="I167" s="435">
        <v>500000</v>
      </c>
      <c r="J167" s="435">
        <v>500000</v>
      </c>
      <c r="K167" s="435">
        <v>300262.66</v>
      </c>
      <c r="L167" s="517"/>
    </row>
    <row r="168" spans="1:12" s="22" customFormat="1" ht="13.5">
      <c r="A168" s="88"/>
      <c r="B168" s="88"/>
      <c r="C168" s="214"/>
      <c r="D168" s="270"/>
      <c r="E168" s="89"/>
      <c r="F168" s="200" t="s">
        <v>1023</v>
      </c>
      <c r="G168" s="54">
        <v>415000</v>
      </c>
      <c r="H168" s="239" t="s">
        <v>852</v>
      </c>
      <c r="I168" s="434">
        <f>I169</f>
        <v>5700000</v>
      </c>
      <c r="J168" s="434">
        <f>J169</f>
        <v>5700000</v>
      </c>
      <c r="K168" s="434">
        <f>K169</f>
        <v>2774047.4</v>
      </c>
      <c r="L168" s="517"/>
    </row>
    <row r="169" spans="1:12" ht="12.75">
      <c r="A169" s="86"/>
      <c r="B169" s="86"/>
      <c r="C169" s="214"/>
      <c r="D169" s="270"/>
      <c r="E169" s="87"/>
      <c r="F169" s="200" t="s">
        <v>1024</v>
      </c>
      <c r="G169" s="35">
        <v>415100</v>
      </c>
      <c r="H169" s="52" t="s">
        <v>852</v>
      </c>
      <c r="I169" s="435">
        <v>5700000</v>
      </c>
      <c r="J169" s="435">
        <v>5700000</v>
      </c>
      <c r="K169" s="435">
        <v>2774047.4</v>
      </c>
      <c r="L169" s="517"/>
    </row>
    <row r="170" spans="1:12" s="22" customFormat="1" ht="13.5">
      <c r="A170" s="88"/>
      <c r="B170" s="88"/>
      <c r="C170" s="214"/>
      <c r="D170" s="270"/>
      <c r="E170" s="89"/>
      <c r="F170" s="200" t="s">
        <v>1025</v>
      </c>
      <c r="G170" s="54">
        <v>416000</v>
      </c>
      <c r="H170" s="20" t="s">
        <v>853</v>
      </c>
      <c r="I170" s="434">
        <f>I171</f>
        <v>1500000</v>
      </c>
      <c r="J170" s="434">
        <f>J171</f>
        <v>1500000</v>
      </c>
      <c r="K170" s="434">
        <f>K171</f>
        <v>0</v>
      </c>
      <c r="L170" s="517"/>
    </row>
    <row r="171" spans="1:12" ht="12.75">
      <c r="A171" s="86"/>
      <c r="B171" s="86"/>
      <c r="C171" s="214"/>
      <c r="D171" s="270"/>
      <c r="E171" s="87"/>
      <c r="F171" s="200" t="s">
        <v>1026</v>
      </c>
      <c r="G171" s="35">
        <v>416100</v>
      </c>
      <c r="H171" s="4" t="s">
        <v>853</v>
      </c>
      <c r="I171" s="435">
        <v>1500000</v>
      </c>
      <c r="J171" s="435">
        <v>1500000</v>
      </c>
      <c r="K171" s="435">
        <v>0</v>
      </c>
      <c r="L171" s="517"/>
    </row>
    <row r="172" spans="1:13" s="22" customFormat="1" ht="13.5">
      <c r="A172" s="88"/>
      <c r="B172" s="88"/>
      <c r="C172" s="214"/>
      <c r="D172" s="270"/>
      <c r="E172" s="89"/>
      <c r="F172" s="200" t="s">
        <v>1027</v>
      </c>
      <c r="G172" s="54">
        <v>421000</v>
      </c>
      <c r="H172" s="20" t="s">
        <v>799</v>
      </c>
      <c r="I172" s="434">
        <f>I173+I174+I175+I176+I177+I178</f>
        <v>19720000</v>
      </c>
      <c r="J172" s="434">
        <f>J173+J174+J175+J176+J177+J178</f>
        <v>19720000</v>
      </c>
      <c r="K172" s="434">
        <f>K173+K174+K175+K176+K177+K178</f>
        <v>8422617.95</v>
      </c>
      <c r="L172" s="517"/>
      <c r="M172" s="610"/>
    </row>
    <row r="173" spans="1:12" ht="12.75">
      <c r="A173" s="86"/>
      <c r="B173" s="86"/>
      <c r="C173" s="214"/>
      <c r="D173" s="270"/>
      <c r="E173" s="87"/>
      <c r="F173" s="200" t="s">
        <v>1028</v>
      </c>
      <c r="G173" s="35">
        <v>421100</v>
      </c>
      <c r="H173" s="4" t="s">
        <v>894</v>
      </c>
      <c r="I173" s="435">
        <v>1000000</v>
      </c>
      <c r="J173" s="435">
        <v>1000000</v>
      </c>
      <c r="K173" s="435">
        <v>461502.78</v>
      </c>
      <c r="L173" s="517"/>
    </row>
    <row r="174" spans="1:12" ht="12.75">
      <c r="A174" s="82"/>
      <c r="B174" s="82"/>
      <c r="C174" s="214"/>
      <c r="D174" s="270"/>
      <c r="E174" s="83"/>
      <c r="F174" s="200" t="s">
        <v>1029</v>
      </c>
      <c r="G174" s="35">
        <v>421200</v>
      </c>
      <c r="H174" s="4" t="s">
        <v>895</v>
      </c>
      <c r="I174" s="435">
        <v>7200000</v>
      </c>
      <c r="J174" s="435">
        <v>7200000</v>
      </c>
      <c r="K174" s="435">
        <v>4141077.5</v>
      </c>
      <c r="L174" s="517"/>
    </row>
    <row r="175" spans="1:12" ht="12.75">
      <c r="A175" s="82"/>
      <c r="B175" s="82"/>
      <c r="C175" s="214"/>
      <c r="D175" s="270"/>
      <c r="E175" s="83"/>
      <c r="F175" s="200" t="s">
        <v>1030</v>
      </c>
      <c r="G175" s="35">
        <v>421300</v>
      </c>
      <c r="H175" s="4" t="s">
        <v>896</v>
      </c>
      <c r="I175" s="435">
        <v>4500000</v>
      </c>
      <c r="J175" s="658">
        <v>4500000</v>
      </c>
      <c r="K175" s="435">
        <v>1111802.93</v>
      </c>
      <c r="L175" s="517"/>
    </row>
    <row r="176" spans="1:12" ht="12.75">
      <c r="A176" s="82"/>
      <c r="B176" s="82"/>
      <c r="C176" s="214"/>
      <c r="D176" s="270"/>
      <c r="E176" s="83"/>
      <c r="F176" s="200" t="s">
        <v>1031</v>
      </c>
      <c r="G176" s="35">
        <v>421400</v>
      </c>
      <c r="H176" s="5" t="s">
        <v>883</v>
      </c>
      <c r="I176" s="435">
        <v>4020000</v>
      </c>
      <c r="J176" s="435">
        <v>4020000</v>
      </c>
      <c r="K176" s="435">
        <v>1474901.47</v>
      </c>
      <c r="L176" s="517"/>
    </row>
    <row r="177" spans="1:12" ht="12.75">
      <c r="A177" s="82"/>
      <c r="B177" s="82"/>
      <c r="C177" s="214"/>
      <c r="D177" s="270"/>
      <c r="E177" s="83"/>
      <c r="F177" s="200" t="s">
        <v>1032</v>
      </c>
      <c r="G177" s="35">
        <v>421500</v>
      </c>
      <c r="H177" s="4" t="s">
        <v>897</v>
      </c>
      <c r="I177" s="435">
        <v>1000000</v>
      </c>
      <c r="J177" s="435">
        <v>1000000</v>
      </c>
      <c r="K177" s="435">
        <v>136777</v>
      </c>
      <c r="L177" s="517"/>
    </row>
    <row r="178" spans="1:12" ht="12.75">
      <c r="A178" s="82"/>
      <c r="B178" s="82"/>
      <c r="C178" s="214"/>
      <c r="D178" s="270"/>
      <c r="E178" s="83"/>
      <c r="F178" s="200" t="s">
        <v>1033</v>
      </c>
      <c r="G178" s="35">
        <v>421600</v>
      </c>
      <c r="H178" s="4" t="s">
        <v>898</v>
      </c>
      <c r="I178" s="435">
        <v>2000000</v>
      </c>
      <c r="J178" s="435">
        <v>2000000</v>
      </c>
      <c r="K178" s="435">
        <v>1096556.27</v>
      </c>
      <c r="L178" s="517"/>
    </row>
    <row r="179" spans="1:12" s="22" customFormat="1" ht="13.5">
      <c r="A179" s="88"/>
      <c r="B179" s="88"/>
      <c r="C179" s="214"/>
      <c r="D179" s="270"/>
      <c r="E179" s="89"/>
      <c r="F179" s="200" t="s">
        <v>1034</v>
      </c>
      <c r="G179" s="54">
        <v>422000</v>
      </c>
      <c r="H179" s="20" t="s">
        <v>793</v>
      </c>
      <c r="I179" s="434">
        <f>I180+I181</f>
        <v>1800000</v>
      </c>
      <c r="J179" s="434">
        <f>J180+J181</f>
        <v>1800000</v>
      </c>
      <c r="K179" s="434">
        <f>K180+K181</f>
        <v>385381</v>
      </c>
      <c r="L179" s="517"/>
    </row>
    <row r="180" spans="1:12" ht="12.75">
      <c r="A180" s="86"/>
      <c r="B180" s="86"/>
      <c r="C180" s="214"/>
      <c r="D180" s="270"/>
      <c r="E180" s="87"/>
      <c r="F180" s="200" t="s">
        <v>1035</v>
      </c>
      <c r="G180" s="35">
        <v>422100</v>
      </c>
      <c r="H180" s="4" t="s">
        <v>899</v>
      </c>
      <c r="I180" s="435">
        <v>1700000</v>
      </c>
      <c r="J180" s="658">
        <v>1700000</v>
      </c>
      <c r="K180" s="435">
        <v>385381</v>
      </c>
      <c r="L180" s="517"/>
    </row>
    <row r="181" spans="1:12" ht="12.75">
      <c r="A181" s="82"/>
      <c r="B181" s="82"/>
      <c r="C181" s="214"/>
      <c r="D181" s="270"/>
      <c r="E181" s="83"/>
      <c r="F181" s="200" t="s">
        <v>1036</v>
      </c>
      <c r="G181" s="35">
        <v>422200</v>
      </c>
      <c r="H181" s="4" t="s">
        <v>900</v>
      </c>
      <c r="I181" s="435">
        <v>100000</v>
      </c>
      <c r="J181" s="435">
        <v>100000</v>
      </c>
      <c r="K181" s="435">
        <v>0</v>
      </c>
      <c r="L181" s="517"/>
    </row>
    <row r="182" spans="1:12" s="22" customFormat="1" ht="13.5">
      <c r="A182" s="88"/>
      <c r="B182" s="88"/>
      <c r="C182" s="214"/>
      <c r="D182" s="270"/>
      <c r="E182" s="89"/>
      <c r="F182" s="200" t="s">
        <v>1037</v>
      </c>
      <c r="G182" s="54">
        <v>423000</v>
      </c>
      <c r="H182" s="20" t="s">
        <v>794</v>
      </c>
      <c r="I182" s="434">
        <f>I183+I184+I185+I186+I187+I188+I189+I190</f>
        <v>8750000</v>
      </c>
      <c r="J182" s="434">
        <f>J183+J184+J185+J186+J187+J188+J189+J190</f>
        <v>8750000</v>
      </c>
      <c r="K182" s="434">
        <f>K183+K184+K185+K186+K187+K188+K189+K190</f>
        <v>2379800.2800000003</v>
      </c>
      <c r="L182" s="517"/>
    </row>
    <row r="183" spans="1:12" s="8" customFormat="1" ht="12.75">
      <c r="A183" s="86"/>
      <c r="B183" s="86"/>
      <c r="C183" s="214"/>
      <c r="D183" s="270"/>
      <c r="E183" s="87"/>
      <c r="F183" s="200" t="s">
        <v>1038</v>
      </c>
      <c r="G183" s="35">
        <v>423100</v>
      </c>
      <c r="H183" s="4" t="s">
        <v>939</v>
      </c>
      <c r="I183" s="435">
        <v>100000</v>
      </c>
      <c r="J183" s="435">
        <v>100000</v>
      </c>
      <c r="K183" s="435">
        <v>0</v>
      </c>
      <c r="L183" s="517"/>
    </row>
    <row r="184" spans="1:12" ht="12.75">
      <c r="A184" s="82"/>
      <c r="B184" s="82"/>
      <c r="C184" s="214"/>
      <c r="D184" s="270"/>
      <c r="E184" s="83"/>
      <c r="F184" s="200" t="s">
        <v>1039</v>
      </c>
      <c r="G184" s="524">
        <v>423200</v>
      </c>
      <c r="H184" s="4" t="s">
        <v>901</v>
      </c>
      <c r="I184" s="435">
        <v>1200000</v>
      </c>
      <c r="J184" s="435">
        <v>1200000</v>
      </c>
      <c r="K184" s="435">
        <v>725929.02</v>
      </c>
      <c r="L184" s="517"/>
    </row>
    <row r="185" spans="1:12" ht="12.75">
      <c r="A185" s="82"/>
      <c r="B185" s="82"/>
      <c r="C185" s="214"/>
      <c r="D185" s="270"/>
      <c r="E185" s="83"/>
      <c r="F185" s="200" t="s">
        <v>1040</v>
      </c>
      <c r="G185" s="524">
        <v>423300</v>
      </c>
      <c r="H185" s="5" t="s">
        <v>902</v>
      </c>
      <c r="I185" s="435">
        <v>250000</v>
      </c>
      <c r="J185" s="435">
        <v>250000</v>
      </c>
      <c r="K185" s="435">
        <v>68610</v>
      </c>
      <c r="L185" s="517"/>
    </row>
    <row r="186" spans="1:12" ht="12.75">
      <c r="A186" s="82"/>
      <c r="B186" s="82"/>
      <c r="C186" s="214"/>
      <c r="D186" s="270"/>
      <c r="E186" s="83"/>
      <c r="F186" s="200" t="s">
        <v>1041</v>
      </c>
      <c r="G186" s="524">
        <v>423400</v>
      </c>
      <c r="H186" s="5" t="s">
        <v>884</v>
      </c>
      <c r="I186" s="435">
        <v>1300000</v>
      </c>
      <c r="J186" s="435">
        <v>1300000</v>
      </c>
      <c r="K186" s="435">
        <v>813055.5</v>
      </c>
      <c r="L186" s="517"/>
    </row>
    <row r="187" spans="1:12" ht="12.75">
      <c r="A187" s="82"/>
      <c r="B187" s="82"/>
      <c r="C187" s="214"/>
      <c r="D187" s="270"/>
      <c r="E187" s="83"/>
      <c r="F187" s="200" t="s">
        <v>1042</v>
      </c>
      <c r="G187" s="524">
        <v>423500</v>
      </c>
      <c r="H187" s="4" t="s">
        <v>903</v>
      </c>
      <c r="I187" s="435">
        <v>4850000</v>
      </c>
      <c r="J187" s="658">
        <v>4850000</v>
      </c>
      <c r="K187" s="435">
        <v>615372.51</v>
      </c>
      <c r="L187" s="517"/>
    </row>
    <row r="188" spans="1:12" ht="12.75">
      <c r="A188" s="82"/>
      <c r="B188" s="82"/>
      <c r="C188" s="214"/>
      <c r="D188" s="270"/>
      <c r="E188" s="83"/>
      <c r="F188" s="200" t="s">
        <v>1043</v>
      </c>
      <c r="G188" s="524">
        <v>423600</v>
      </c>
      <c r="H188" s="4" t="s">
        <v>904</v>
      </c>
      <c r="I188" s="435">
        <v>450000</v>
      </c>
      <c r="J188" s="435">
        <v>450000</v>
      </c>
      <c r="K188" s="435">
        <v>107090</v>
      </c>
      <c r="L188" s="517"/>
    </row>
    <row r="189" spans="1:12" ht="12.75">
      <c r="A189" s="82"/>
      <c r="B189" s="82"/>
      <c r="C189" s="214"/>
      <c r="D189" s="270"/>
      <c r="E189" s="83"/>
      <c r="F189" s="200" t="s">
        <v>1044</v>
      </c>
      <c r="G189" s="524">
        <v>423700</v>
      </c>
      <c r="H189" s="4" t="s">
        <v>905</v>
      </c>
      <c r="I189" s="435">
        <v>200000</v>
      </c>
      <c r="J189" s="435">
        <v>200000</v>
      </c>
      <c r="K189" s="435">
        <v>0</v>
      </c>
      <c r="L189" s="517"/>
    </row>
    <row r="190" spans="1:12" ht="12.75">
      <c r="A190" s="82"/>
      <c r="B190" s="82"/>
      <c r="C190" s="214"/>
      <c r="D190" s="270"/>
      <c r="E190" s="83"/>
      <c r="F190" s="200" t="s">
        <v>1045</v>
      </c>
      <c r="G190" s="524">
        <v>423900</v>
      </c>
      <c r="H190" s="4" t="s">
        <v>906</v>
      </c>
      <c r="I190" s="435">
        <v>400000</v>
      </c>
      <c r="J190" s="435">
        <v>400000</v>
      </c>
      <c r="K190" s="435">
        <v>49743.25</v>
      </c>
      <c r="L190" s="517"/>
    </row>
    <row r="191" spans="1:13" s="22" customFormat="1" ht="13.5">
      <c r="A191" s="88"/>
      <c r="B191" s="88"/>
      <c r="C191" s="214"/>
      <c r="D191" s="270"/>
      <c r="E191" s="89"/>
      <c r="F191" s="200" t="s">
        <v>1046</v>
      </c>
      <c r="G191" s="528">
        <v>424000</v>
      </c>
      <c r="H191" s="20" t="s">
        <v>800</v>
      </c>
      <c r="I191" s="434">
        <f>I192+I193+I194</f>
        <v>4570000</v>
      </c>
      <c r="J191" s="434">
        <f>J192+J193+J194</f>
        <v>4570000</v>
      </c>
      <c r="K191" s="434">
        <f>K192+K193+K194</f>
        <v>924094</v>
      </c>
      <c r="L191" s="517"/>
      <c r="M191" s="448"/>
    </row>
    <row r="192" spans="1:12" ht="12.75">
      <c r="A192" s="86"/>
      <c r="B192" s="86"/>
      <c r="C192" s="214"/>
      <c r="D192" s="270"/>
      <c r="E192" s="87"/>
      <c r="F192" s="200" t="s">
        <v>1047</v>
      </c>
      <c r="G192" s="524">
        <v>424200</v>
      </c>
      <c r="H192" s="4" t="s">
        <v>907</v>
      </c>
      <c r="I192" s="435">
        <v>1000000</v>
      </c>
      <c r="J192" s="435">
        <v>1000000</v>
      </c>
      <c r="K192" s="435">
        <v>844264</v>
      </c>
      <c r="L192" s="517"/>
    </row>
    <row r="193" spans="1:12" ht="25.5">
      <c r="A193" s="82"/>
      <c r="B193" s="82"/>
      <c r="C193" s="214"/>
      <c r="D193" s="270"/>
      <c r="E193" s="83"/>
      <c r="F193" s="200" t="s">
        <v>1048</v>
      </c>
      <c r="G193" s="524">
        <v>424600</v>
      </c>
      <c r="H193" s="5" t="s">
        <v>908</v>
      </c>
      <c r="I193" s="435">
        <v>3370000</v>
      </c>
      <c r="J193" s="435">
        <v>3370000</v>
      </c>
      <c r="K193" s="435">
        <v>67830</v>
      </c>
      <c r="L193" s="517"/>
    </row>
    <row r="194" spans="1:12" ht="12.75">
      <c r="A194" s="82"/>
      <c r="B194" s="82"/>
      <c r="C194" s="83"/>
      <c r="D194" s="82"/>
      <c r="E194" s="83"/>
      <c r="F194" s="200" t="s">
        <v>1049</v>
      </c>
      <c r="G194" s="524">
        <v>424900</v>
      </c>
      <c r="H194" s="5" t="s">
        <v>934</v>
      </c>
      <c r="I194" s="435">
        <v>200000</v>
      </c>
      <c r="J194" s="435">
        <v>200000</v>
      </c>
      <c r="K194" s="435">
        <v>12000</v>
      </c>
      <c r="L194" s="517"/>
    </row>
    <row r="195" spans="1:12" s="22" customFormat="1" ht="13.5">
      <c r="A195" s="88"/>
      <c r="B195" s="88"/>
      <c r="C195" s="83"/>
      <c r="D195" s="82"/>
      <c r="E195" s="89"/>
      <c r="F195" s="200" t="s">
        <v>1050</v>
      </c>
      <c r="G195" s="528">
        <v>425000</v>
      </c>
      <c r="H195" s="20" t="s">
        <v>797</v>
      </c>
      <c r="I195" s="434">
        <f>I196+I197</f>
        <v>5980000</v>
      </c>
      <c r="J195" s="434">
        <f>J196+J197</f>
        <v>5980000</v>
      </c>
      <c r="K195" s="434">
        <f>K196+K197</f>
        <v>491496.68000000005</v>
      </c>
      <c r="L195" s="517"/>
    </row>
    <row r="196" spans="1:12" ht="12.75">
      <c r="A196" s="86"/>
      <c r="B196" s="86"/>
      <c r="C196" s="83"/>
      <c r="D196" s="82"/>
      <c r="E196" s="87"/>
      <c r="F196" s="200" t="s">
        <v>1051</v>
      </c>
      <c r="G196" s="524">
        <v>425100</v>
      </c>
      <c r="H196" s="4" t="s">
        <v>909</v>
      </c>
      <c r="I196" s="435">
        <v>4620000</v>
      </c>
      <c r="J196" s="435">
        <v>4620000</v>
      </c>
      <c r="K196" s="435">
        <v>167528.9</v>
      </c>
      <c r="L196" s="517"/>
    </row>
    <row r="197" spans="1:12" ht="12.75">
      <c r="A197" s="82"/>
      <c r="B197" s="82"/>
      <c r="C197" s="83"/>
      <c r="D197" s="82"/>
      <c r="E197" s="83"/>
      <c r="F197" s="200" t="s">
        <v>1052</v>
      </c>
      <c r="G197" s="524">
        <v>425200</v>
      </c>
      <c r="H197" s="4" t="s">
        <v>910</v>
      </c>
      <c r="I197" s="435">
        <v>1360000</v>
      </c>
      <c r="J197" s="435">
        <v>1360000</v>
      </c>
      <c r="K197" s="435">
        <v>323967.78</v>
      </c>
      <c r="L197" s="517"/>
    </row>
    <row r="198" spans="1:12" s="22" customFormat="1" ht="13.5">
      <c r="A198" s="88"/>
      <c r="B198" s="88"/>
      <c r="C198" s="83"/>
      <c r="D198" s="82"/>
      <c r="E198" s="89"/>
      <c r="F198" s="200" t="s">
        <v>1053</v>
      </c>
      <c r="G198" s="528">
        <v>426000</v>
      </c>
      <c r="H198" s="20" t="s">
        <v>795</v>
      </c>
      <c r="I198" s="434">
        <f>I199+I200+I201</f>
        <v>7900000</v>
      </c>
      <c r="J198" s="434">
        <f>J199+J200+J201</f>
        <v>7900000</v>
      </c>
      <c r="K198" s="434">
        <f>K199+K200+K201</f>
        <v>2174451.27</v>
      </c>
      <c r="L198" s="517"/>
    </row>
    <row r="199" spans="1:12" ht="12.75">
      <c r="A199" s="86"/>
      <c r="B199" s="86"/>
      <c r="C199" s="83"/>
      <c r="D199" s="82"/>
      <c r="E199" s="87"/>
      <c r="F199" s="200" t="s">
        <v>1054</v>
      </c>
      <c r="G199" s="524">
        <v>426100</v>
      </c>
      <c r="H199" s="4" t="s">
        <v>911</v>
      </c>
      <c r="I199" s="435">
        <v>4200000</v>
      </c>
      <c r="J199" s="435">
        <v>4200000</v>
      </c>
      <c r="K199" s="435">
        <v>1115424.46</v>
      </c>
      <c r="L199" s="517"/>
    </row>
    <row r="200" spans="1:12" ht="12.75">
      <c r="A200" s="82"/>
      <c r="B200" s="82"/>
      <c r="C200" s="83"/>
      <c r="D200" s="82"/>
      <c r="E200" s="83"/>
      <c r="F200" s="200" t="s">
        <v>1055</v>
      </c>
      <c r="G200" s="524">
        <v>426400</v>
      </c>
      <c r="H200" s="5" t="s">
        <v>912</v>
      </c>
      <c r="I200" s="435">
        <v>3000000</v>
      </c>
      <c r="J200" s="435">
        <v>3000000</v>
      </c>
      <c r="K200" s="435">
        <v>813762.58</v>
      </c>
      <c r="L200" s="517"/>
    </row>
    <row r="201" spans="1:12" ht="12.75">
      <c r="A201" s="82"/>
      <c r="B201" s="82"/>
      <c r="C201" s="83"/>
      <c r="D201" s="82"/>
      <c r="E201" s="83"/>
      <c r="F201" s="200" t="s">
        <v>1056</v>
      </c>
      <c r="G201" s="524">
        <v>426800</v>
      </c>
      <c r="H201" s="5" t="s">
        <v>913</v>
      </c>
      <c r="I201" s="435">
        <v>700000</v>
      </c>
      <c r="J201" s="435">
        <v>700000</v>
      </c>
      <c r="K201" s="435">
        <v>245264.23</v>
      </c>
      <c r="L201" s="517"/>
    </row>
    <row r="202" spans="1:12" s="22" customFormat="1" ht="13.5">
      <c r="A202" s="88"/>
      <c r="B202" s="88"/>
      <c r="C202" s="83"/>
      <c r="D202" s="82"/>
      <c r="E202" s="89"/>
      <c r="F202" s="200" t="s">
        <v>1057</v>
      </c>
      <c r="G202" s="529" t="s">
        <v>381</v>
      </c>
      <c r="H202" s="41" t="s">
        <v>384</v>
      </c>
      <c r="I202" s="434">
        <f>I203</f>
        <v>13536000</v>
      </c>
      <c r="J202" s="434">
        <f>J203</f>
        <v>13536000</v>
      </c>
      <c r="K202" s="436">
        <f>K203</f>
        <v>6085751.54</v>
      </c>
      <c r="L202" s="517"/>
    </row>
    <row r="203" spans="1:12" ht="12.75">
      <c r="A203" s="82"/>
      <c r="B203" s="82"/>
      <c r="C203" s="83"/>
      <c r="D203" s="82"/>
      <c r="E203" s="83"/>
      <c r="F203" s="200" t="s">
        <v>1058</v>
      </c>
      <c r="G203" s="524" t="s">
        <v>382</v>
      </c>
      <c r="H203" s="5" t="s">
        <v>383</v>
      </c>
      <c r="I203" s="435">
        <v>13536000</v>
      </c>
      <c r="J203" s="435">
        <v>13536000</v>
      </c>
      <c r="K203" s="435">
        <v>6085751.54</v>
      </c>
      <c r="L203" s="517"/>
    </row>
    <row r="204" spans="1:12" s="22" customFormat="1" ht="13.5">
      <c r="A204" s="88"/>
      <c r="B204" s="88"/>
      <c r="C204" s="83"/>
      <c r="D204" s="82"/>
      <c r="E204" s="89"/>
      <c r="F204" s="200" t="s">
        <v>1059</v>
      </c>
      <c r="G204" s="54">
        <v>482000</v>
      </c>
      <c r="H204" s="23" t="s">
        <v>859</v>
      </c>
      <c r="I204" s="434">
        <f>I205+I206</f>
        <v>200000</v>
      </c>
      <c r="J204" s="434">
        <f>J205+J206</f>
        <v>200000</v>
      </c>
      <c r="K204" s="434">
        <f>K205+K206</f>
        <v>45219</v>
      </c>
      <c r="L204" s="517"/>
    </row>
    <row r="205" spans="1:12" s="8" customFormat="1" ht="12.75">
      <c r="A205" s="86"/>
      <c r="B205" s="86"/>
      <c r="C205" s="83"/>
      <c r="D205" s="82"/>
      <c r="E205" s="87"/>
      <c r="F205" s="200" t="s">
        <v>1060</v>
      </c>
      <c r="G205" s="35">
        <v>482100</v>
      </c>
      <c r="H205" s="5" t="s">
        <v>334</v>
      </c>
      <c r="I205" s="435">
        <v>100000</v>
      </c>
      <c r="J205" s="435">
        <v>100000</v>
      </c>
      <c r="K205" s="435">
        <v>0</v>
      </c>
      <c r="L205" s="517"/>
    </row>
    <row r="206" spans="1:12" ht="12.75">
      <c r="A206" s="82"/>
      <c r="B206" s="82"/>
      <c r="C206" s="83"/>
      <c r="D206" s="82"/>
      <c r="E206" s="83"/>
      <c r="F206" s="200" t="s">
        <v>1061</v>
      </c>
      <c r="G206" s="35">
        <v>482200</v>
      </c>
      <c r="H206" s="52" t="s">
        <v>914</v>
      </c>
      <c r="I206" s="435">
        <v>100000</v>
      </c>
      <c r="J206" s="435">
        <v>100000</v>
      </c>
      <c r="K206" s="435">
        <v>45219</v>
      </c>
      <c r="L206" s="517"/>
    </row>
    <row r="207" spans="1:12" ht="13.5">
      <c r="A207" s="82"/>
      <c r="B207" s="82"/>
      <c r="C207" s="83"/>
      <c r="D207" s="82"/>
      <c r="E207" s="83"/>
      <c r="F207" s="200" t="s">
        <v>1062</v>
      </c>
      <c r="G207" s="54">
        <v>481000</v>
      </c>
      <c r="H207" s="23" t="s">
        <v>224</v>
      </c>
      <c r="I207" s="434">
        <f>I208</f>
        <v>6300000</v>
      </c>
      <c r="J207" s="434">
        <f>J208</f>
        <v>6605000</v>
      </c>
      <c r="K207" s="436">
        <f>K208</f>
        <v>4537000</v>
      </c>
      <c r="L207" s="517"/>
    </row>
    <row r="208" spans="1:12" ht="12.75">
      <c r="A208" s="82"/>
      <c r="B208" s="82"/>
      <c r="C208" s="83"/>
      <c r="D208" s="82"/>
      <c r="E208" s="83"/>
      <c r="F208" s="200" t="s">
        <v>1063</v>
      </c>
      <c r="G208" s="35">
        <v>481900</v>
      </c>
      <c r="H208" s="5" t="s">
        <v>225</v>
      </c>
      <c r="I208" s="435">
        <v>6300000</v>
      </c>
      <c r="J208" s="687">
        <v>6605000</v>
      </c>
      <c r="K208" s="435">
        <v>4537000</v>
      </c>
      <c r="L208" s="517"/>
    </row>
    <row r="209" spans="1:12" s="22" customFormat="1" ht="13.5">
      <c r="A209" s="88"/>
      <c r="B209" s="88"/>
      <c r="C209" s="83"/>
      <c r="D209" s="82"/>
      <c r="E209" s="89"/>
      <c r="F209" s="200" t="s">
        <v>1064</v>
      </c>
      <c r="G209" s="54">
        <v>483000</v>
      </c>
      <c r="H209" s="23" t="s">
        <v>860</v>
      </c>
      <c r="I209" s="434">
        <f>I210</f>
        <v>9000000</v>
      </c>
      <c r="J209" s="434">
        <f>J210</f>
        <v>9000000</v>
      </c>
      <c r="K209" s="434">
        <f>K210</f>
        <v>8195867.81</v>
      </c>
      <c r="L209" s="517"/>
    </row>
    <row r="210" spans="1:12" ht="12.75">
      <c r="A210" s="86"/>
      <c r="B210" s="86"/>
      <c r="C210" s="83"/>
      <c r="D210" s="82"/>
      <c r="E210" s="87"/>
      <c r="F210" s="200" t="s">
        <v>1065</v>
      </c>
      <c r="G210" s="35">
        <v>483100</v>
      </c>
      <c r="H210" s="52" t="s">
        <v>860</v>
      </c>
      <c r="I210" s="435">
        <v>9000000</v>
      </c>
      <c r="J210" s="435">
        <v>9000000</v>
      </c>
      <c r="K210" s="435">
        <v>8195867.81</v>
      </c>
      <c r="L210" s="517"/>
    </row>
    <row r="211" spans="1:12" s="24" customFormat="1" ht="27">
      <c r="A211" s="84"/>
      <c r="B211" s="84"/>
      <c r="C211" s="215"/>
      <c r="D211" s="208"/>
      <c r="E211" s="85"/>
      <c r="F211" s="200" t="s">
        <v>1066</v>
      </c>
      <c r="G211" s="528">
        <v>484000</v>
      </c>
      <c r="H211" s="23" t="s">
        <v>333</v>
      </c>
      <c r="I211" s="434">
        <f>I212</f>
        <v>50000</v>
      </c>
      <c r="J211" s="434">
        <f>J212</f>
        <v>50000</v>
      </c>
      <c r="K211" s="434">
        <f>K212</f>
        <v>2550</v>
      </c>
      <c r="L211" s="517"/>
    </row>
    <row r="212" spans="1:12" ht="25.5">
      <c r="A212" s="86"/>
      <c r="B212" s="86"/>
      <c r="C212" s="214"/>
      <c r="D212" s="270"/>
      <c r="E212" s="87"/>
      <c r="F212" s="200" t="s">
        <v>1067</v>
      </c>
      <c r="G212" s="524">
        <v>484100</v>
      </c>
      <c r="H212" s="5" t="s">
        <v>333</v>
      </c>
      <c r="I212" s="435">
        <v>50000</v>
      </c>
      <c r="J212" s="435">
        <v>50000</v>
      </c>
      <c r="K212" s="435">
        <v>2550</v>
      </c>
      <c r="L212" s="517"/>
    </row>
    <row r="213" spans="1:12" s="22" customFormat="1" ht="13.5">
      <c r="A213" s="88"/>
      <c r="B213" s="88"/>
      <c r="C213" s="214"/>
      <c r="D213" s="270"/>
      <c r="E213" s="89"/>
      <c r="F213" s="200" t="s">
        <v>1068</v>
      </c>
      <c r="G213" s="54">
        <v>499000</v>
      </c>
      <c r="H213" s="26" t="s">
        <v>803</v>
      </c>
      <c r="I213" s="434">
        <f>I214</f>
        <v>20000000</v>
      </c>
      <c r="J213" s="434">
        <f>J214</f>
        <v>9280793.66</v>
      </c>
      <c r="K213" s="434">
        <f>K214</f>
        <v>0</v>
      </c>
      <c r="L213" s="517"/>
    </row>
    <row r="214" spans="1:12" ht="14.25" customHeight="1">
      <c r="A214" s="86"/>
      <c r="B214" s="86"/>
      <c r="C214" s="214"/>
      <c r="D214" s="270"/>
      <c r="E214" s="87"/>
      <c r="F214" s="200" t="s">
        <v>1069</v>
      </c>
      <c r="G214" s="35">
        <v>499100</v>
      </c>
      <c r="H214" s="7" t="s">
        <v>803</v>
      </c>
      <c r="I214" s="435">
        <f>I215+I216</f>
        <v>20000000</v>
      </c>
      <c r="J214" s="435">
        <f>J215+J216</f>
        <v>9280793.66</v>
      </c>
      <c r="K214" s="435">
        <f>K215+K216</f>
        <v>0</v>
      </c>
      <c r="L214" s="517"/>
    </row>
    <row r="215" spans="1:12" s="36" customFormat="1" ht="12.75">
      <c r="A215" s="82"/>
      <c r="B215" s="82"/>
      <c r="C215" s="214"/>
      <c r="D215" s="270"/>
      <c r="E215" s="83"/>
      <c r="F215" s="200"/>
      <c r="G215" s="35"/>
      <c r="H215" s="7" t="s">
        <v>917</v>
      </c>
      <c r="I215" s="435">
        <v>5000000</v>
      </c>
      <c r="J215" s="839">
        <v>449233.08</v>
      </c>
      <c r="K215" s="435">
        <v>0</v>
      </c>
      <c r="L215" s="517"/>
    </row>
    <row r="216" spans="1:14" s="36" customFormat="1" ht="12.75">
      <c r="A216" s="82"/>
      <c r="B216" s="82"/>
      <c r="C216" s="214"/>
      <c r="D216" s="270"/>
      <c r="E216" s="83"/>
      <c r="F216" s="200"/>
      <c r="G216" s="35"/>
      <c r="H216" s="7" t="s">
        <v>918</v>
      </c>
      <c r="I216" s="435">
        <v>15000000</v>
      </c>
      <c r="J216" s="687">
        <v>8831560.58</v>
      </c>
      <c r="K216" s="435">
        <v>0</v>
      </c>
      <c r="L216" s="517"/>
      <c r="M216" s="575"/>
      <c r="N216" s="512"/>
    </row>
    <row r="217" spans="1:12" s="22" customFormat="1" ht="13.5">
      <c r="A217" s="88"/>
      <c r="B217" s="88"/>
      <c r="C217" s="214"/>
      <c r="D217" s="270"/>
      <c r="E217" s="89"/>
      <c r="F217" s="200" t="s">
        <v>1070</v>
      </c>
      <c r="G217" s="54">
        <v>511000</v>
      </c>
      <c r="H217" s="25" t="s">
        <v>802</v>
      </c>
      <c r="I217" s="438">
        <f>I218</f>
        <v>10000000</v>
      </c>
      <c r="J217" s="438">
        <f>J218</f>
        <v>10000000</v>
      </c>
      <c r="K217" s="438">
        <f>K218</f>
        <v>0</v>
      </c>
      <c r="L217" s="517"/>
    </row>
    <row r="218" spans="1:12" s="8" customFormat="1" ht="12.75">
      <c r="A218" s="82"/>
      <c r="B218" s="82"/>
      <c r="C218" s="214"/>
      <c r="D218" s="270"/>
      <c r="E218" s="83"/>
      <c r="F218" s="200" t="s">
        <v>1071</v>
      </c>
      <c r="G218" s="35">
        <v>511300</v>
      </c>
      <c r="H218" s="6" t="s">
        <v>888</v>
      </c>
      <c r="I218" s="435">
        <v>10000000</v>
      </c>
      <c r="J218" s="435">
        <v>10000000</v>
      </c>
      <c r="K218" s="435">
        <v>0</v>
      </c>
      <c r="L218" s="517"/>
    </row>
    <row r="219" spans="1:12" s="22" customFormat="1" ht="13.5">
      <c r="A219" s="88"/>
      <c r="B219" s="88"/>
      <c r="C219" s="214"/>
      <c r="D219" s="270"/>
      <c r="E219" s="89"/>
      <c r="F219" s="200" t="s">
        <v>1072</v>
      </c>
      <c r="G219" s="528">
        <v>512000</v>
      </c>
      <c r="H219" s="25" t="s">
        <v>796</v>
      </c>
      <c r="I219" s="434">
        <f>I220+I221</f>
        <v>4000000</v>
      </c>
      <c r="J219" s="434">
        <f>J220+J221</f>
        <v>4000000</v>
      </c>
      <c r="K219" s="434">
        <f>K220+K221</f>
        <v>1137520.2</v>
      </c>
      <c r="L219" s="517"/>
    </row>
    <row r="220" spans="1:12" ht="12.75">
      <c r="A220" s="86"/>
      <c r="B220" s="86"/>
      <c r="C220" s="214"/>
      <c r="D220" s="270"/>
      <c r="E220" s="87"/>
      <c r="F220" s="200" t="s">
        <v>1073</v>
      </c>
      <c r="G220" s="524">
        <v>512100</v>
      </c>
      <c r="H220" s="6" t="s">
        <v>915</v>
      </c>
      <c r="I220" s="435">
        <v>200000</v>
      </c>
      <c r="J220" s="435">
        <v>200000</v>
      </c>
      <c r="K220" s="435">
        <v>109710</v>
      </c>
      <c r="L220" s="517"/>
    </row>
    <row r="221" spans="1:12" ht="12.75">
      <c r="A221" s="82"/>
      <c r="B221" s="82"/>
      <c r="C221" s="214"/>
      <c r="D221" s="270"/>
      <c r="E221" s="83"/>
      <c r="F221" s="200" t="s">
        <v>1074</v>
      </c>
      <c r="G221" s="524">
        <v>512200</v>
      </c>
      <c r="H221" s="6" t="s">
        <v>916</v>
      </c>
      <c r="I221" s="435">
        <v>3800000</v>
      </c>
      <c r="J221" s="435">
        <v>3800000</v>
      </c>
      <c r="K221" s="435">
        <v>1027810.2</v>
      </c>
      <c r="L221" s="517"/>
    </row>
    <row r="222" spans="1:12" ht="12.75">
      <c r="A222" s="82"/>
      <c r="B222" s="82"/>
      <c r="C222" s="214"/>
      <c r="D222" s="270"/>
      <c r="E222" s="83"/>
      <c r="F222" s="200"/>
      <c r="G222" s="524" t="s">
        <v>357</v>
      </c>
      <c r="H222" s="6" t="s">
        <v>359</v>
      </c>
      <c r="I222" s="435">
        <v>1800000</v>
      </c>
      <c r="J222" s="435">
        <v>1800000</v>
      </c>
      <c r="K222" s="435">
        <v>0</v>
      </c>
      <c r="L222" s="517"/>
    </row>
    <row r="223" spans="1:12" ht="12.75">
      <c r="A223" s="82"/>
      <c r="B223" s="82"/>
      <c r="C223" s="214"/>
      <c r="D223" s="270"/>
      <c r="E223" s="83"/>
      <c r="F223" s="200"/>
      <c r="G223" s="524" t="s">
        <v>358</v>
      </c>
      <c r="H223" s="6" t="s">
        <v>356</v>
      </c>
      <c r="I223" s="435">
        <v>2000000</v>
      </c>
      <c r="J223" s="435">
        <v>2000000</v>
      </c>
      <c r="K223" s="435">
        <v>0</v>
      </c>
      <c r="L223" s="517"/>
    </row>
    <row r="224" spans="1:12" s="36" customFormat="1" ht="12.75">
      <c r="A224" s="82"/>
      <c r="B224" s="82"/>
      <c r="C224" s="214"/>
      <c r="D224" s="270"/>
      <c r="E224" s="83"/>
      <c r="F224" s="200"/>
      <c r="G224" s="524"/>
      <c r="H224" s="291"/>
      <c r="I224" s="435"/>
      <c r="J224" s="435"/>
      <c r="K224" s="435">
        <v>0</v>
      </c>
      <c r="L224" s="517"/>
    </row>
    <row r="225" spans="1:15" s="36" customFormat="1" ht="12.75">
      <c r="A225" s="82"/>
      <c r="B225" s="82"/>
      <c r="C225" s="214"/>
      <c r="D225" s="270"/>
      <c r="E225" s="83"/>
      <c r="F225" s="200"/>
      <c r="G225" s="524"/>
      <c r="H225" s="292" t="s">
        <v>530</v>
      </c>
      <c r="I225" s="436">
        <f>I219+I217+I213+I211+I209+I207+I204+I202+I198+I195+I191+I182+I179+I172+I170+I168+I164+I160+I158</f>
        <v>256056000</v>
      </c>
      <c r="J225" s="436">
        <f>J158+J160+J164+J168+J170+J172+J179+J182+J191+J195+J198+J202+J204+J207+J209+J211+J213+J217+J219</f>
        <v>240341793.66</v>
      </c>
      <c r="K225" s="603">
        <f>K217+K213+K158+K160+K164+K168+K172+K179+K182+K191+K195+K198+K202+K204+K207+K209+K170+K211+K219</f>
        <v>98809915.67000002</v>
      </c>
      <c r="L225" s="517"/>
      <c r="O225" s="645"/>
    </row>
    <row r="226" spans="1:12" s="36" customFormat="1" ht="12.75">
      <c r="A226" s="82"/>
      <c r="B226" s="82"/>
      <c r="C226" s="214"/>
      <c r="D226" s="270"/>
      <c r="E226" s="83"/>
      <c r="F226" s="200"/>
      <c r="G226" s="524"/>
      <c r="H226" s="292"/>
      <c r="I226" s="436"/>
      <c r="J226" s="436"/>
      <c r="K226" s="436"/>
      <c r="L226" s="517"/>
    </row>
    <row r="227" spans="1:12" s="55" customFormat="1" ht="12.75">
      <c r="A227" s="88"/>
      <c r="B227" s="88"/>
      <c r="C227" s="214"/>
      <c r="D227" s="270" t="s">
        <v>531</v>
      </c>
      <c r="E227" s="89"/>
      <c r="F227" s="200"/>
      <c r="G227" s="529"/>
      <c r="H227" s="97" t="s">
        <v>532</v>
      </c>
      <c r="I227" s="436"/>
      <c r="J227" s="436"/>
      <c r="K227" s="436"/>
      <c r="L227" s="517"/>
    </row>
    <row r="228" spans="1:12" s="55" customFormat="1" ht="12.75">
      <c r="A228" s="88"/>
      <c r="B228" s="88"/>
      <c r="C228" s="214"/>
      <c r="D228" s="270"/>
      <c r="E228" s="89" t="s">
        <v>533</v>
      </c>
      <c r="F228" s="200"/>
      <c r="G228" s="529"/>
      <c r="H228" s="98" t="s">
        <v>534</v>
      </c>
      <c r="I228" s="436"/>
      <c r="J228" s="436"/>
      <c r="K228" s="436"/>
      <c r="L228" s="517"/>
    </row>
    <row r="229" spans="1:12" s="55" customFormat="1" ht="13.5">
      <c r="A229" s="88"/>
      <c r="B229" s="88"/>
      <c r="C229" s="214"/>
      <c r="D229" s="270"/>
      <c r="E229" s="89"/>
      <c r="F229" s="200" t="s">
        <v>533</v>
      </c>
      <c r="G229" s="54">
        <v>441000</v>
      </c>
      <c r="H229" s="23" t="s">
        <v>807</v>
      </c>
      <c r="I229" s="434">
        <f>I230</f>
        <v>10000000</v>
      </c>
      <c r="J229" s="434">
        <f>J230</f>
        <v>10000000</v>
      </c>
      <c r="K229" s="434">
        <f>K230</f>
        <v>3729636.27</v>
      </c>
      <c r="L229" s="517"/>
    </row>
    <row r="230" spans="1:12" s="36" customFormat="1" ht="12.75">
      <c r="A230" s="86"/>
      <c r="B230" s="86"/>
      <c r="C230" s="214"/>
      <c r="D230" s="270"/>
      <c r="E230" s="87"/>
      <c r="F230" s="200" t="s">
        <v>1075</v>
      </c>
      <c r="G230" s="35">
        <v>441400</v>
      </c>
      <c r="H230" s="5" t="s">
        <v>885</v>
      </c>
      <c r="I230" s="435">
        <v>10000000</v>
      </c>
      <c r="J230" s="435">
        <v>10000000</v>
      </c>
      <c r="K230" s="435">
        <v>3729636.27</v>
      </c>
      <c r="L230" s="517"/>
    </row>
    <row r="231" spans="1:12" s="55" customFormat="1" ht="13.5">
      <c r="A231" s="88"/>
      <c r="B231" s="88"/>
      <c r="C231" s="214"/>
      <c r="D231" s="270"/>
      <c r="E231" s="89"/>
      <c r="F231" s="200" t="s">
        <v>1076</v>
      </c>
      <c r="G231" s="54">
        <v>611000</v>
      </c>
      <c r="H231" s="25" t="s">
        <v>869</v>
      </c>
      <c r="I231" s="438">
        <f>I232</f>
        <v>35000000</v>
      </c>
      <c r="J231" s="438">
        <f>J232</f>
        <v>33250000</v>
      </c>
      <c r="K231" s="438">
        <f>K232</f>
        <v>17552357.92</v>
      </c>
      <c r="L231" s="517"/>
    </row>
    <row r="232" spans="1:12" s="36" customFormat="1" ht="12.75">
      <c r="A232" s="86"/>
      <c r="B232" s="86"/>
      <c r="C232" s="214"/>
      <c r="D232" s="270"/>
      <c r="E232" s="87"/>
      <c r="F232" s="200" t="s">
        <v>1077</v>
      </c>
      <c r="G232" s="35">
        <v>611400</v>
      </c>
      <c r="H232" s="7" t="s">
        <v>891</v>
      </c>
      <c r="I232" s="435">
        <v>35000000</v>
      </c>
      <c r="J232" s="688">
        <v>33250000</v>
      </c>
      <c r="K232" s="435">
        <v>17552357.92</v>
      </c>
      <c r="L232" s="517"/>
    </row>
    <row r="233" spans="1:12" s="36" customFormat="1" ht="12.75">
      <c r="A233" s="82"/>
      <c r="B233" s="82"/>
      <c r="C233" s="214"/>
      <c r="D233" s="270"/>
      <c r="E233" s="83"/>
      <c r="F233" s="200"/>
      <c r="G233" s="524"/>
      <c r="H233" s="292" t="s">
        <v>537</v>
      </c>
      <c r="I233" s="436">
        <f>I229+I231</f>
        <v>45000000</v>
      </c>
      <c r="J233" s="436">
        <f>J229+J231</f>
        <v>43250000</v>
      </c>
      <c r="K233" s="603">
        <f>K229+K231</f>
        <v>21281994.19</v>
      </c>
      <c r="L233" s="517"/>
    </row>
    <row r="234" spans="1:12" s="36" customFormat="1" ht="12.75">
      <c r="A234" s="82"/>
      <c r="B234" s="82"/>
      <c r="C234" s="214"/>
      <c r="D234" s="270"/>
      <c r="E234" s="83"/>
      <c r="F234" s="200"/>
      <c r="G234" s="524"/>
      <c r="H234" s="292"/>
      <c r="I234" s="436"/>
      <c r="J234" s="436"/>
      <c r="K234" s="436"/>
      <c r="L234" s="517"/>
    </row>
    <row r="235" spans="1:12" s="36" customFormat="1" ht="12.75">
      <c r="A235" s="82"/>
      <c r="B235" s="82"/>
      <c r="C235" s="214"/>
      <c r="D235" s="275" t="s">
        <v>628</v>
      </c>
      <c r="E235" s="83"/>
      <c r="F235" s="200"/>
      <c r="G235" s="524"/>
      <c r="H235" s="244" t="s">
        <v>505</v>
      </c>
      <c r="I235" s="436"/>
      <c r="J235" s="436"/>
      <c r="K235" s="436"/>
      <c r="L235" s="517"/>
    </row>
    <row r="236" spans="1:12" s="22" customFormat="1" ht="12.75" customHeight="1">
      <c r="A236" s="88"/>
      <c r="B236" s="88"/>
      <c r="C236" s="214"/>
      <c r="D236" s="270"/>
      <c r="E236" s="89">
        <v>130</v>
      </c>
      <c r="F236" s="200"/>
      <c r="G236" s="241"/>
      <c r="H236" s="238" t="s">
        <v>826</v>
      </c>
      <c r="I236" s="444"/>
      <c r="J236" s="444"/>
      <c r="K236" s="444"/>
      <c r="L236" s="517"/>
    </row>
    <row r="237" spans="1:12" s="22" customFormat="1" ht="13.5">
      <c r="A237" s="88"/>
      <c r="B237" s="88"/>
      <c r="C237" s="214"/>
      <c r="D237" s="270"/>
      <c r="E237" s="89"/>
      <c r="F237" s="200" t="s">
        <v>1078</v>
      </c>
      <c r="G237" s="528">
        <v>424000</v>
      </c>
      <c r="H237" s="20" t="s">
        <v>800</v>
      </c>
      <c r="I237" s="434">
        <f>I238</f>
        <v>1500000</v>
      </c>
      <c r="J237" s="434">
        <f>J238</f>
        <v>1500000</v>
      </c>
      <c r="K237" s="604">
        <f>K238</f>
        <v>0</v>
      </c>
      <c r="L237" s="517"/>
    </row>
    <row r="238" spans="1:12" ht="12.75">
      <c r="A238" s="86"/>
      <c r="B238" s="86"/>
      <c r="C238" s="214"/>
      <c r="D238" s="270"/>
      <c r="E238" s="87"/>
      <c r="F238" s="200" t="s">
        <v>1079</v>
      </c>
      <c r="G238" s="524">
        <v>424200</v>
      </c>
      <c r="H238" s="4" t="s">
        <v>907</v>
      </c>
      <c r="I238" s="435">
        <v>1500000</v>
      </c>
      <c r="J238" s="435">
        <v>1500000</v>
      </c>
      <c r="K238" s="746">
        <v>0</v>
      </c>
      <c r="L238" s="517"/>
    </row>
    <row r="239" spans="1:12" s="36" customFormat="1" ht="12.75">
      <c r="A239" s="82"/>
      <c r="B239" s="82"/>
      <c r="C239" s="214"/>
      <c r="D239" s="270"/>
      <c r="E239" s="83"/>
      <c r="F239" s="200"/>
      <c r="G239" s="524"/>
      <c r="H239" s="292" t="s">
        <v>629</v>
      </c>
      <c r="I239" s="436">
        <f>I237</f>
        <v>1500000</v>
      </c>
      <c r="J239" s="436">
        <f>J237</f>
        <v>1500000</v>
      </c>
      <c r="K239" s="603">
        <f>K237</f>
        <v>0</v>
      </c>
      <c r="L239" s="517"/>
    </row>
    <row r="240" spans="1:12" s="22" customFormat="1" ht="12.75" customHeight="1">
      <c r="A240" s="88"/>
      <c r="B240" s="88"/>
      <c r="C240" s="214"/>
      <c r="D240" s="270"/>
      <c r="E240" s="89"/>
      <c r="F240" s="200"/>
      <c r="G240" s="241"/>
      <c r="H240" s="238"/>
      <c r="I240" s="444"/>
      <c r="J240" s="444"/>
      <c r="K240" s="444"/>
      <c r="L240" s="517"/>
    </row>
    <row r="241" spans="1:12" s="36" customFormat="1" ht="20.25" customHeight="1">
      <c r="A241" s="141"/>
      <c r="B241" s="586"/>
      <c r="C241" s="587"/>
      <c r="D241" s="631">
        <v>601</v>
      </c>
      <c r="E241" s="588"/>
      <c r="F241" s="589"/>
      <c r="G241" s="632"/>
      <c r="H241" s="633" t="s">
        <v>743</v>
      </c>
      <c r="I241" s="590"/>
      <c r="J241" s="590"/>
      <c r="K241" s="590"/>
      <c r="L241" s="517"/>
    </row>
    <row r="242" spans="1:12" s="36" customFormat="1" ht="15" customHeight="1">
      <c r="A242" s="141"/>
      <c r="B242" s="586"/>
      <c r="C242" s="587"/>
      <c r="D242" s="631" t="s">
        <v>716</v>
      </c>
      <c r="E242" s="588"/>
      <c r="F242" s="589"/>
      <c r="G242" s="632"/>
      <c r="H242" s="633" t="s">
        <v>721</v>
      </c>
      <c r="I242" s="590"/>
      <c r="J242" s="590"/>
      <c r="K242" s="590"/>
      <c r="L242" s="517"/>
    </row>
    <row r="243" spans="1:12" s="36" customFormat="1" ht="15" customHeight="1">
      <c r="A243" s="141"/>
      <c r="B243" s="586"/>
      <c r="C243" s="587"/>
      <c r="D243" s="631"/>
      <c r="E243" s="635" t="s">
        <v>625</v>
      </c>
      <c r="F243" s="589"/>
      <c r="G243" s="632"/>
      <c r="H243" s="634" t="s">
        <v>578</v>
      </c>
      <c r="I243" s="590"/>
      <c r="J243" s="590"/>
      <c r="K243" s="590"/>
      <c r="L243" s="517"/>
    </row>
    <row r="244" spans="1:12" s="36" customFormat="1" ht="15" customHeight="1">
      <c r="A244" s="141"/>
      <c r="B244" s="648"/>
      <c r="C244" s="647"/>
      <c r="D244" s="636"/>
      <c r="E244" s="637"/>
      <c r="F244" s="638"/>
      <c r="G244" s="639" t="s">
        <v>604</v>
      </c>
      <c r="H244" s="641" t="s">
        <v>799</v>
      </c>
      <c r="I244" s="640">
        <f>I245</f>
        <v>12000000</v>
      </c>
      <c r="J244" s="640">
        <f>J245</f>
        <v>19050000</v>
      </c>
      <c r="K244" s="664">
        <f>K245</f>
        <v>0</v>
      </c>
      <c r="L244" s="517"/>
    </row>
    <row r="245" spans="1:12" s="36" customFormat="1" ht="15" customHeight="1">
      <c r="A245" s="141"/>
      <c r="B245" s="648"/>
      <c r="C245" s="647"/>
      <c r="D245" s="636"/>
      <c r="E245" s="637"/>
      <c r="F245" s="638"/>
      <c r="G245" s="642" t="s">
        <v>605</v>
      </c>
      <c r="H245" s="643" t="s">
        <v>920</v>
      </c>
      <c r="I245" s="644">
        <v>12000000</v>
      </c>
      <c r="J245" s="840">
        <v>19050000</v>
      </c>
      <c r="K245" s="644">
        <v>0</v>
      </c>
      <c r="L245" s="517"/>
    </row>
    <row r="246" spans="1:12" s="36" customFormat="1" ht="15" customHeight="1">
      <c r="A246" s="141"/>
      <c r="B246" s="648"/>
      <c r="C246" s="647"/>
      <c r="D246" s="636"/>
      <c r="E246" s="637"/>
      <c r="F246" s="638"/>
      <c r="G246" s="642"/>
      <c r="H246" s="643" t="s">
        <v>744</v>
      </c>
      <c r="I246" s="640">
        <f>I244</f>
        <v>12000000</v>
      </c>
      <c r="J246" s="640">
        <f>J244</f>
        <v>19050000</v>
      </c>
      <c r="K246" s="750">
        <f>K244</f>
        <v>0</v>
      </c>
      <c r="L246" s="517"/>
    </row>
    <row r="247" spans="1:12" s="36" customFormat="1" ht="14.25" thickBot="1">
      <c r="A247" s="307"/>
      <c r="B247" s="653"/>
      <c r="C247" s="654"/>
      <c r="D247" s="652"/>
      <c r="E247" s="651"/>
      <c r="F247" s="646"/>
      <c r="G247" s="650"/>
      <c r="H247" s="649" t="s">
        <v>747</v>
      </c>
      <c r="I247" s="661">
        <f>I225+I233+I237+I246</f>
        <v>314556000</v>
      </c>
      <c r="J247" s="661">
        <f>J225+J233+J237+J246</f>
        <v>304141793.65999997</v>
      </c>
      <c r="K247" s="661">
        <f>K225+K233+K237+K246</f>
        <v>120091909.86000001</v>
      </c>
      <c r="L247" s="517"/>
    </row>
    <row r="248" spans="1:12" s="22" customFormat="1" ht="15.75" thickBot="1" thickTop="1">
      <c r="A248" s="104"/>
      <c r="B248" s="104">
        <v>2</v>
      </c>
      <c r="C248" s="213" t="s">
        <v>180</v>
      </c>
      <c r="D248" s="267"/>
      <c r="E248" s="105"/>
      <c r="F248" s="198"/>
      <c r="G248" s="525"/>
      <c r="H248" s="106" t="s">
        <v>256</v>
      </c>
      <c r="I248" s="457"/>
      <c r="J248" s="107"/>
      <c r="K248" s="107"/>
      <c r="L248" s="517"/>
    </row>
    <row r="249" spans="1:12" s="22" customFormat="1" ht="12.75" customHeight="1" thickTop="1">
      <c r="A249" s="283"/>
      <c r="B249" s="283"/>
      <c r="C249" s="284"/>
      <c r="D249" s="285" t="s">
        <v>528</v>
      </c>
      <c r="E249" s="286"/>
      <c r="F249" s="301"/>
      <c r="G249" s="526"/>
      <c r="H249" s="288" t="s">
        <v>527</v>
      </c>
      <c r="I249" s="431"/>
      <c r="J249" s="289"/>
      <c r="K249" s="289"/>
      <c r="L249" s="517"/>
    </row>
    <row r="250" spans="1:12" s="22" customFormat="1" ht="17.25" customHeight="1">
      <c r="A250" s="88"/>
      <c r="B250" s="88"/>
      <c r="C250" s="214"/>
      <c r="D250" s="274" t="s">
        <v>540</v>
      </c>
      <c r="E250" s="89"/>
      <c r="F250" s="200"/>
      <c r="G250" s="527"/>
      <c r="H250" s="125" t="s">
        <v>541</v>
      </c>
      <c r="I250" s="432"/>
      <c r="J250" s="432"/>
      <c r="K250" s="432"/>
      <c r="L250" s="517"/>
    </row>
    <row r="251" spans="1:12" s="22" customFormat="1" ht="13.5">
      <c r="A251" s="88"/>
      <c r="B251" s="88"/>
      <c r="C251" s="214"/>
      <c r="D251" s="270"/>
      <c r="E251" s="89">
        <v>160</v>
      </c>
      <c r="F251" s="200"/>
      <c r="G251" s="534"/>
      <c r="H251" s="91" t="s">
        <v>244</v>
      </c>
      <c r="I251" s="449"/>
      <c r="J251" s="449"/>
      <c r="K251" s="449"/>
      <c r="L251" s="517"/>
    </row>
    <row r="252" spans="1:12" ht="13.5">
      <c r="A252" s="82"/>
      <c r="B252" s="82"/>
      <c r="C252" s="214"/>
      <c r="D252" s="270"/>
      <c r="E252" s="83"/>
      <c r="F252" s="200"/>
      <c r="G252" s="528" t="s">
        <v>604</v>
      </c>
      <c r="H252" s="5" t="s">
        <v>799</v>
      </c>
      <c r="I252" s="434">
        <f>I253+I254</f>
        <v>0</v>
      </c>
      <c r="J252" s="434">
        <f>J253+J254</f>
        <v>99000</v>
      </c>
      <c r="K252" s="434">
        <f>K253+K254</f>
        <v>5669.94</v>
      </c>
      <c r="L252" s="517"/>
    </row>
    <row r="253" spans="1:12" ht="12.75">
      <c r="A253" s="82"/>
      <c r="B253" s="82"/>
      <c r="C253" s="214"/>
      <c r="D253" s="270"/>
      <c r="E253" s="83"/>
      <c r="F253" s="200"/>
      <c r="G253" s="524" t="s">
        <v>457</v>
      </c>
      <c r="H253" s="5" t="s">
        <v>1482</v>
      </c>
      <c r="I253" s="435">
        <v>0</v>
      </c>
      <c r="J253" s="688">
        <v>9000</v>
      </c>
      <c r="K253" s="435">
        <v>0</v>
      </c>
      <c r="L253" s="517"/>
    </row>
    <row r="254" spans="1:12" ht="12.75">
      <c r="A254" s="82"/>
      <c r="B254" s="82"/>
      <c r="C254" s="214"/>
      <c r="D254" s="270"/>
      <c r="E254" s="83"/>
      <c r="F254" s="200"/>
      <c r="G254" s="524" t="s">
        <v>605</v>
      </c>
      <c r="H254" s="5" t="s">
        <v>920</v>
      </c>
      <c r="I254" s="435">
        <v>0</v>
      </c>
      <c r="J254" s="688">
        <v>90000</v>
      </c>
      <c r="K254" s="435">
        <v>5669.94</v>
      </c>
      <c r="L254" s="517"/>
    </row>
    <row r="255" spans="1:12" s="22" customFormat="1" ht="13.5">
      <c r="A255" s="88"/>
      <c r="B255" s="88"/>
      <c r="C255" s="214"/>
      <c r="D255" s="270"/>
      <c r="E255" s="89"/>
      <c r="F255" s="200" t="s">
        <v>1080</v>
      </c>
      <c r="G255" s="528">
        <v>425000</v>
      </c>
      <c r="H255" s="20" t="s">
        <v>797</v>
      </c>
      <c r="I255" s="434">
        <f>I256+I257</f>
        <v>2000000</v>
      </c>
      <c r="J255" s="434">
        <f>J256+J257</f>
        <v>1901000</v>
      </c>
      <c r="K255" s="434">
        <f>K256+K257</f>
        <v>1105483.86</v>
      </c>
      <c r="L255" s="517"/>
    </row>
    <row r="256" spans="1:12" ht="12.75">
      <c r="A256" s="86"/>
      <c r="B256" s="86"/>
      <c r="C256" s="214"/>
      <c r="D256" s="270"/>
      <c r="E256" s="87"/>
      <c r="F256" s="200" t="s">
        <v>1081</v>
      </c>
      <c r="G256" s="524">
        <v>425100</v>
      </c>
      <c r="H256" s="4" t="s">
        <v>909</v>
      </c>
      <c r="I256" s="435">
        <v>1980000</v>
      </c>
      <c r="J256" s="688">
        <v>1881000</v>
      </c>
      <c r="K256" s="435">
        <v>1105483.86</v>
      </c>
      <c r="L256" s="517"/>
    </row>
    <row r="257" spans="1:12" ht="12.75">
      <c r="A257" s="82"/>
      <c r="B257" s="82"/>
      <c r="C257" s="214"/>
      <c r="D257" s="270"/>
      <c r="E257" s="83"/>
      <c r="F257" s="200" t="s">
        <v>1082</v>
      </c>
      <c r="G257" s="524">
        <v>425200</v>
      </c>
      <c r="H257" s="4" t="s">
        <v>910</v>
      </c>
      <c r="I257" s="435">
        <v>20000</v>
      </c>
      <c r="J257" s="435">
        <v>20000</v>
      </c>
      <c r="K257" s="435">
        <v>0</v>
      </c>
      <c r="L257" s="517"/>
    </row>
    <row r="258" spans="1:12" s="36" customFormat="1" ht="13.5">
      <c r="A258" s="474"/>
      <c r="B258" s="474"/>
      <c r="C258" s="475"/>
      <c r="D258" s="476"/>
      <c r="E258" s="477"/>
      <c r="F258" s="478"/>
      <c r="G258" s="483"/>
      <c r="H258" s="484" t="s">
        <v>746</v>
      </c>
      <c r="I258" s="616">
        <f>I255+I252</f>
        <v>2000000</v>
      </c>
      <c r="J258" s="616">
        <f>J252+J255</f>
        <v>2000000</v>
      </c>
      <c r="K258" s="603">
        <f>K252+K255</f>
        <v>1111153.8</v>
      </c>
      <c r="L258" s="517"/>
    </row>
    <row r="259" spans="1:12" s="36" customFormat="1" ht="12.75">
      <c r="A259" s="82"/>
      <c r="B259" s="82"/>
      <c r="C259" s="214"/>
      <c r="D259" s="270"/>
      <c r="E259" s="83"/>
      <c r="F259" s="200"/>
      <c r="G259" s="35"/>
      <c r="H259" s="7"/>
      <c r="I259" s="435"/>
      <c r="J259" s="435"/>
      <c r="K259" s="435"/>
      <c r="L259" s="517"/>
    </row>
    <row r="260" spans="1:12" s="55" customFormat="1" ht="19.5" customHeight="1">
      <c r="A260" s="309"/>
      <c r="B260" s="88">
        <v>3</v>
      </c>
      <c r="C260" s="214" t="s">
        <v>180</v>
      </c>
      <c r="D260" s="270"/>
      <c r="E260" s="89"/>
      <c r="F260" s="200"/>
      <c r="G260" s="527"/>
      <c r="H260" s="310" t="s">
        <v>241</v>
      </c>
      <c r="I260" s="450"/>
      <c r="J260" s="450"/>
      <c r="K260" s="450"/>
      <c r="L260" s="517"/>
    </row>
    <row r="261" spans="1:12" s="55" customFormat="1" ht="12.75" customHeight="1">
      <c r="A261" s="88"/>
      <c r="B261" s="88"/>
      <c r="C261" s="214"/>
      <c r="D261" s="274" t="s">
        <v>737</v>
      </c>
      <c r="E261" s="89"/>
      <c r="F261" s="200"/>
      <c r="G261" s="527"/>
      <c r="H261" s="92" t="s">
        <v>580</v>
      </c>
      <c r="I261" s="432"/>
      <c r="J261" s="432"/>
      <c r="K261" s="432"/>
      <c r="L261" s="517"/>
    </row>
    <row r="262" spans="1:12" s="55" customFormat="1" ht="18" customHeight="1">
      <c r="A262" s="88"/>
      <c r="B262" s="88"/>
      <c r="C262" s="214"/>
      <c r="D262" s="274" t="s">
        <v>738</v>
      </c>
      <c r="E262" s="89"/>
      <c r="F262" s="200"/>
      <c r="G262" s="527"/>
      <c r="H262" s="125" t="s">
        <v>739</v>
      </c>
      <c r="I262" s="432"/>
      <c r="J262" s="432"/>
      <c r="K262" s="432"/>
      <c r="L262" s="517"/>
    </row>
    <row r="263" spans="1:12" s="55" customFormat="1" ht="12.75" customHeight="1">
      <c r="A263" s="88"/>
      <c r="B263" s="88"/>
      <c r="C263" s="214"/>
      <c r="D263" s="270"/>
      <c r="E263" s="89">
        <v>160</v>
      </c>
      <c r="F263" s="200"/>
      <c r="G263" s="528"/>
      <c r="H263" s="140" t="s">
        <v>244</v>
      </c>
      <c r="I263" s="451"/>
      <c r="J263" s="451"/>
      <c r="K263" s="451"/>
      <c r="L263" s="517"/>
    </row>
    <row r="264" spans="1:12" s="55" customFormat="1" ht="13.5">
      <c r="A264" s="88"/>
      <c r="B264" s="88"/>
      <c r="C264" s="214"/>
      <c r="D264" s="270"/>
      <c r="E264" s="89"/>
      <c r="F264" s="200" t="s">
        <v>1083</v>
      </c>
      <c r="G264" s="528">
        <v>424000</v>
      </c>
      <c r="H264" s="20" t="s">
        <v>800</v>
      </c>
      <c r="I264" s="434">
        <f>I265+I266</f>
        <v>5000000</v>
      </c>
      <c r="J264" s="434">
        <f>J265+J266</f>
        <v>5000000</v>
      </c>
      <c r="K264" s="434">
        <f>K265+K266</f>
        <v>0</v>
      </c>
      <c r="L264" s="517"/>
    </row>
    <row r="265" spans="1:12" s="36" customFormat="1" ht="25.5">
      <c r="A265" s="86"/>
      <c r="B265" s="86"/>
      <c r="C265" s="214"/>
      <c r="D265" s="270"/>
      <c r="E265" s="87"/>
      <c r="F265" s="200" t="s">
        <v>1084</v>
      </c>
      <c r="G265" s="524">
        <v>424600</v>
      </c>
      <c r="H265" s="5" t="s">
        <v>908</v>
      </c>
      <c r="I265" s="435">
        <v>800000</v>
      </c>
      <c r="J265" s="435">
        <v>800000</v>
      </c>
      <c r="K265" s="435">
        <v>0</v>
      </c>
      <c r="L265" s="517"/>
    </row>
    <row r="266" spans="1:12" s="36" customFormat="1" ht="12.75">
      <c r="A266" s="82"/>
      <c r="B266" s="82"/>
      <c r="C266" s="214"/>
      <c r="D266" s="270"/>
      <c r="E266" s="83"/>
      <c r="F266" s="200" t="s">
        <v>1085</v>
      </c>
      <c r="G266" s="524">
        <v>424900</v>
      </c>
      <c r="H266" s="4" t="s">
        <v>934</v>
      </c>
      <c r="I266" s="435">
        <v>4200000</v>
      </c>
      <c r="J266" s="435">
        <v>4200000</v>
      </c>
      <c r="K266" s="435">
        <v>0</v>
      </c>
      <c r="L266" s="517"/>
    </row>
    <row r="267" spans="1:12" s="36" customFormat="1" ht="13.5">
      <c r="A267" s="474"/>
      <c r="B267" s="474"/>
      <c r="C267" s="475"/>
      <c r="D267" s="476"/>
      <c r="E267" s="477"/>
      <c r="F267" s="478"/>
      <c r="G267" s="483"/>
      <c r="H267" s="484" t="s">
        <v>655</v>
      </c>
      <c r="I267" s="616">
        <f>I264</f>
        <v>5000000</v>
      </c>
      <c r="J267" s="616">
        <f>J264</f>
        <v>5000000</v>
      </c>
      <c r="K267" s="603">
        <f>K264</f>
        <v>0</v>
      </c>
      <c r="L267" s="517"/>
    </row>
    <row r="268" spans="1:14" s="36" customFormat="1" ht="13.5" thickBot="1">
      <c r="A268" s="294"/>
      <c r="B268" s="294"/>
      <c r="C268" s="295"/>
      <c r="D268" s="296"/>
      <c r="E268" s="297"/>
      <c r="F268" s="298"/>
      <c r="G268" s="299"/>
      <c r="H268" s="304"/>
      <c r="I268" s="440"/>
      <c r="J268" s="440"/>
      <c r="K268" s="440"/>
      <c r="L268" s="517"/>
      <c r="N268" s="36" t="s">
        <v>745</v>
      </c>
    </row>
    <row r="269" spans="1:12" s="22" customFormat="1" ht="16.5" thickBot="1" thickTop="1">
      <c r="A269" s="104"/>
      <c r="B269" s="104">
        <v>4</v>
      </c>
      <c r="C269" s="213" t="s">
        <v>181</v>
      </c>
      <c r="D269" s="267"/>
      <c r="E269" s="105"/>
      <c r="F269" s="198"/>
      <c r="G269" s="525"/>
      <c r="H269" s="106" t="s">
        <v>254</v>
      </c>
      <c r="I269" s="452"/>
      <c r="J269" s="452"/>
      <c r="K269" s="452"/>
      <c r="L269" s="517"/>
    </row>
    <row r="270" spans="1:12" s="22" customFormat="1" ht="12.75" customHeight="1" thickTop="1">
      <c r="A270" s="100"/>
      <c r="B270" s="283"/>
      <c r="C270" s="284"/>
      <c r="D270" s="285" t="s">
        <v>544</v>
      </c>
      <c r="E270" s="286"/>
      <c r="F270" s="301"/>
      <c r="G270" s="526"/>
      <c r="H270" s="288" t="s">
        <v>542</v>
      </c>
      <c r="I270" s="431"/>
      <c r="J270" s="431"/>
      <c r="K270" s="675"/>
      <c r="L270" s="517"/>
    </row>
    <row r="271" spans="1:12" s="22" customFormat="1" ht="17.25" customHeight="1">
      <c r="A271" s="88"/>
      <c r="B271" s="88"/>
      <c r="C271" s="214"/>
      <c r="D271" s="274" t="s">
        <v>545</v>
      </c>
      <c r="E271" s="89"/>
      <c r="F271" s="200"/>
      <c r="G271" s="527"/>
      <c r="H271" s="125" t="s">
        <v>543</v>
      </c>
      <c r="I271" s="432"/>
      <c r="J271" s="432"/>
      <c r="K271" s="676"/>
      <c r="L271" s="517"/>
    </row>
    <row r="272" spans="1:12" s="22" customFormat="1" ht="13.5">
      <c r="A272" s="88"/>
      <c r="B272" s="88"/>
      <c r="C272" s="214"/>
      <c r="D272" s="270"/>
      <c r="E272" s="89">
        <v>912</v>
      </c>
      <c r="F272" s="200"/>
      <c r="G272" s="535"/>
      <c r="H272" s="91" t="s">
        <v>245</v>
      </c>
      <c r="I272" s="453"/>
      <c r="J272" s="453"/>
      <c r="K272" s="677"/>
      <c r="L272" s="517"/>
    </row>
    <row r="273" spans="1:12" s="22" customFormat="1" ht="13.5">
      <c r="A273" s="88"/>
      <c r="B273" s="88"/>
      <c r="C273" s="214"/>
      <c r="D273" s="270"/>
      <c r="E273" s="89"/>
      <c r="F273" s="200" t="s">
        <v>1086</v>
      </c>
      <c r="G273" s="535">
        <v>463000</v>
      </c>
      <c r="H273" s="242" t="s">
        <v>856</v>
      </c>
      <c r="I273" s="462">
        <f>I274+I275</f>
        <v>122877200</v>
      </c>
      <c r="J273" s="454">
        <f>J274+J275</f>
        <v>122877200</v>
      </c>
      <c r="K273" s="678">
        <f>K274+K275</f>
        <v>44727420.41</v>
      </c>
      <c r="L273" s="517"/>
    </row>
    <row r="274" spans="1:13" ht="12.75">
      <c r="A274" s="86"/>
      <c r="B274" s="86"/>
      <c r="C274" s="214"/>
      <c r="D274" s="270"/>
      <c r="E274" s="87"/>
      <c r="F274" s="200" t="s">
        <v>1087</v>
      </c>
      <c r="G274" s="536">
        <v>463100</v>
      </c>
      <c r="H274" s="243" t="s">
        <v>919</v>
      </c>
      <c r="I274" s="455">
        <v>122877200</v>
      </c>
      <c r="J274" s="841">
        <v>122877200</v>
      </c>
      <c r="K274" s="660">
        <v>44727420.41</v>
      </c>
      <c r="L274" s="517"/>
      <c r="M274" s="515"/>
    </row>
    <row r="275" spans="1:12" ht="12.75">
      <c r="A275" s="82"/>
      <c r="B275" s="82"/>
      <c r="C275" s="214"/>
      <c r="D275" s="270"/>
      <c r="E275" s="83"/>
      <c r="F275" s="200" t="s">
        <v>1088</v>
      </c>
      <c r="G275" s="524">
        <v>463200</v>
      </c>
      <c r="H275" s="4" t="s">
        <v>930</v>
      </c>
      <c r="I275" s="435">
        <v>0</v>
      </c>
      <c r="J275" s="435">
        <v>0</v>
      </c>
      <c r="K275" s="658">
        <v>0</v>
      </c>
      <c r="L275" s="517"/>
    </row>
    <row r="276" spans="1:12" s="36" customFormat="1" ht="12.75">
      <c r="A276" s="474"/>
      <c r="B276" s="474"/>
      <c r="C276" s="475"/>
      <c r="D276" s="476"/>
      <c r="E276" s="477"/>
      <c r="F276" s="478"/>
      <c r="G276" s="74"/>
      <c r="H276" s="292" t="s">
        <v>656</v>
      </c>
      <c r="I276" s="481">
        <f>I273</f>
        <v>122877200</v>
      </c>
      <c r="J276" s="481">
        <f>J273</f>
        <v>122877200</v>
      </c>
      <c r="K276" s="603">
        <f>K273</f>
        <v>44727420.41</v>
      </c>
      <c r="L276" s="517"/>
    </row>
    <row r="277" spans="1:12" s="36" customFormat="1" ht="13.5" thickBot="1">
      <c r="A277" s="82"/>
      <c r="B277" s="294"/>
      <c r="C277" s="295"/>
      <c r="D277" s="296"/>
      <c r="E277" s="297"/>
      <c r="F277" s="298"/>
      <c r="G277" s="299"/>
      <c r="H277" s="304"/>
      <c r="I277" s="440"/>
      <c r="J277" s="440"/>
      <c r="K277" s="679"/>
      <c r="L277" s="517"/>
    </row>
    <row r="278" spans="1:12" s="22" customFormat="1" ht="16.5" thickBot="1" thickTop="1">
      <c r="A278" s="114"/>
      <c r="B278" s="114">
        <v>5</v>
      </c>
      <c r="C278" s="202" t="s">
        <v>182</v>
      </c>
      <c r="D278" s="272"/>
      <c r="E278" s="115"/>
      <c r="F278" s="202"/>
      <c r="G278" s="533"/>
      <c r="H278" s="106" t="s">
        <v>255</v>
      </c>
      <c r="I278" s="456"/>
      <c r="J278" s="456"/>
      <c r="K278" s="680"/>
      <c r="L278" s="517"/>
    </row>
    <row r="279" spans="1:12" s="22" customFormat="1" ht="12.75" customHeight="1" thickTop="1">
      <c r="A279" s="283"/>
      <c r="B279" s="283"/>
      <c r="C279" s="284"/>
      <c r="D279" s="285" t="s">
        <v>549</v>
      </c>
      <c r="E279" s="286"/>
      <c r="F279" s="301"/>
      <c r="G279" s="526"/>
      <c r="H279" s="288" t="s">
        <v>548</v>
      </c>
      <c r="I279" s="431"/>
      <c r="J279" s="431"/>
      <c r="K279" s="675"/>
      <c r="L279" s="517"/>
    </row>
    <row r="280" spans="1:12" s="22" customFormat="1" ht="17.25" customHeight="1">
      <c r="A280" s="88"/>
      <c r="B280" s="88"/>
      <c r="C280" s="214"/>
      <c r="D280" s="274" t="s">
        <v>550</v>
      </c>
      <c r="E280" s="89"/>
      <c r="F280" s="200"/>
      <c r="G280" s="527"/>
      <c r="H280" s="125" t="s">
        <v>551</v>
      </c>
      <c r="I280" s="432"/>
      <c r="J280" s="432"/>
      <c r="K280" s="676"/>
      <c r="L280" s="517"/>
    </row>
    <row r="281" spans="1:12" s="22" customFormat="1" ht="13.5">
      <c r="A281" s="88"/>
      <c r="B281" s="88"/>
      <c r="C281" s="214"/>
      <c r="D281" s="270"/>
      <c r="E281" s="89">
        <v>920</v>
      </c>
      <c r="F281" s="200"/>
      <c r="G281" s="535"/>
      <c r="H281" s="91" t="s">
        <v>829</v>
      </c>
      <c r="I281" s="453"/>
      <c r="J281" s="453"/>
      <c r="K281" s="677"/>
      <c r="L281" s="517"/>
    </row>
    <row r="282" spans="1:12" s="22" customFormat="1" ht="13.5">
      <c r="A282" s="88"/>
      <c r="B282" s="88"/>
      <c r="C282" s="214"/>
      <c r="D282" s="270"/>
      <c r="E282" s="89"/>
      <c r="F282" s="200" t="s">
        <v>1089</v>
      </c>
      <c r="G282" s="535">
        <v>463000</v>
      </c>
      <c r="H282" s="242" t="s">
        <v>856</v>
      </c>
      <c r="I282" s="454">
        <f>I283+I284</f>
        <v>58302000</v>
      </c>
      <c r="J282" s="454">
        <f>J283+J284</f>
        <v>58302000</v>
      </c>
      <c r="K282" s="678">
        <f>K283+K284</f>
        <v>22538871.82</v>
      </c>
      <c r="L282" s="517"/>
    </row>
    <row r="283" spans="1:12" ht="12.75">
      <c r="A283" s="86"/>
      <c r="B283" s="86"/>
      <c r="C283" s="214"/>
      <c r="D283" s="270"/>
      <c r="E283" s="87"/>
      <c r="F283" s="200" t="s">
        <v>1090</v>
      </c>
      <c r="G283" s="536">
        <v>463100</v>
      </c>
      <c r="H283" s="243" t="s">
        <v>919</v>
      </c>
      <c r="I283" s="455">
        <v>58302000</v>
      </c>
      <c r="J283" s="841">
        <v>58302000</v>
      </c>
      <c r="K283" s="660">
        <v>22538871.82</v>
      </c>
      <c r="L283" s="517"/>
    </row>
    <row r="284" spans="1:12" ht="12.75">
      <c r="A284" s="82"/>
      <c r="B284" s="82"/>
      <c r="C284" s="214"/>
      <c r="D284" s="270"/>
      <c r="E284" s="83"/>
      <c r="F284" s="200" t="s">
        <v>1091</v>
      </c>
      <c r="G284" s="524">
        <v>463200</v>
      </c>
      <c r="H284" s="4" t="s">
        <v>930</v>
      </c>
      <c r="I284" s="435">
        <v>0</v>
      </c>
      <c r="J284" s="435">
        <v>0</v>
      </c>
      <c r="K284" s="658">
        <v>0</v>
      </c>
      <c r="L284" s="517"/>
    </row>
    <row r="285" spans="1:12" s="36" customFormat="1" ht="12.75">
      <c r="A285" s="474"/>
      <c r="B285" s="474"/>
      <c r="C285" s="475"/>
      <c r="D285" s="476"/>
      <c r="E285" s="477"/>
      <c r="F285" s="478"/>
      <c r="G285" s="483"/>
      <c r="H285" s="484" t="s">
        <v>444</v>
      </c>
      <c r="I285" s="481">
        <f>I282</f>
        <v>58302000</v>
      </c>
      <c r="J285" s="481">
        <f>J282</f>
        <v>58302000</v>
      </c>
      <c r="K285" s="603">
        <f>K282</f>
        <v>22538871.82</v>
      </c>
      <c r="L285" s="517"/>
    </row>
    <row r="286" spans="1:12" s="36" customFormat="1" ht="13.5" thickBot="1">
      <c r="A286" s="294"/>
      <c r="B286" s="294"/>
      <c r="C286" s="295"/>
      <c r="D286" s="296"/>
      <c r="E286" s="297"/>
      <c r="F286" s="298"/>
      <c r="G286" s="299"/>
      <c r="H286" s="304"/>
      <c r="I286" s="440"/>
      <c r="J286" s="440"/>
      <c r="K286" s="440"/>
      <c r="L286" s="517"/>
    </row>
    <row r="287" spans="1:12" s="22" customFormat="1" ht="15.75" thickBot="1" thickTop="1">
      <c r="A287" s="104"/>
      <c r="B287" s="104">
        <v>6</v>
      </c>
      <c r="C287" s="213" t="s">
        <v>183</v>
      </c>
      <c r="D287" s="267"/>
      <c r="E287" s="105"/>
      <c r="F287" s="198"/>
      <c r="G287" s="525"/>
      <c r="H287" s="106" t="s">
        <v>927</v>
      </c>
      <c r="I287" s="457"/>
      <c r="J287" s="457"/>
      <c r="K287" s="457"/>
      <c r="L287" s="517"/>
    </row>
    <row r="288" spans="1:12" s="22" customFormat="1" ht="12.75" customHeight="1" thickTop="1">
      <c r="A288" s="283"/>
      <c r="B288" s="283"/>
      <c r="C288" s="284"/>
      <c r="D288" s="285" t="s">
        <v>553</v>
      </c>
      <c r="E288" s="286"/>
      <c r="F288" s="301"/>
      <c r="G288" s="526"/>
      <c r="H288" s="288" t="s">
        <v>552</v>
      </c>
      <c r="I288" s="431"/>
      <c r="J288" s="431"/>
      <c r="K288" s="431"/>
      <c r="L288" s="517"/>
    </row>
    <row r="289" spans="1:12" s="22" customFormat="1" ht="17.25" customHeight="1">
      <c r="A289" s="88"/>
      <c r="B289" s="88"/>
      <c r="C289" s="214"/>
      <c r="D289" s="274" t="s">
        <v>554</v>
      </c>
      <c r="E289" s="89"/>
      <c r="F289" s="200"/>
      <c r="G289" s="527"/>
      <c r="H289" s="125" t="s">
        <v>556</v>
      </c>
      <c r="I289" s="432"/>
      <c r="J289" s="432"/>
      <c r="K289" s="432"/>
      <c r="L289" s="517"/>
    </row>
    <row r="290" spans="1:12" s="22" customFormat="1" ht="13.5">
      <c r="A290" s="88"/>
      <c r="B290" s="88"/>
      <c r="C290" s="214"/>
      <c r="D290" s="270"/>
      <c r="E290" s="89">
        <v>911</v>
      </c>
      <c r="F290" s="200"/>
      <c r="G290" s="534"/>
      <c r="H290" s="91" t="s">
        <v>246</v>
      </c>
      <c r="I290" s="449"/>
      <c r="J290" s="449"/>
      <c r="K290" s="449"/>
      <c r="L290" s="517"/>
    </row>
    <row r="291" spans="1:12" s="22" customFormat="1" ht="13.5">
      <c r="A291" s="88"/>
      <c r="B291" s="88"/>
      <c r="C291" s="214"/>
      <c r="D291" s="270"/>
      <c r="E291" s="89"/>
      <c r="F291" s="200" t="s">
        <v>1092</v>
      </c>
      <c r="G291" s="54">
        <v>411000</v>
      </c>
      <c r="H291" s="20" t="s">
        <v>866</v>
      </c>
      <c r="I291" s="434">
        <f>I292</f>
        <v>59000000</v>
      </c>
      <c r="J291" s="434">
        <f>J292</f>
        <v>59000000</v>
      </c>
      <c r="K291" s="434">
        <f>K292</f>
        <v>29245151.87</v>
      </c>
      <c r="L291" s="517"/>
    </row>
    <row r="292" spans="1:12" ht="12.75">
      <c r="A292" s="86"/>
      <c r="B292" s="86"/>
      <c r="C292" s="214"/>
      <c r="D292" s="270"/>
      <c r="E292" s="87"/>
      <c r="F292" s="200" t="s">
        <v>1093</v>
      </c>
      <c r="G292" s="35">
        <v>411100</v>
      </c>
      <c r="H292" s="4" t="s">
        <v>878</v>
      </c>
      <c r="I292" s="435">
        <v>59000000</v>
      </c>
      <c r="J292" s="435">
        <v>59000000</v>
      </c>
      <c r="K292" s="435">
        <v>29245151.87</v>
      </c>
      <c r="L292" s="517"/>
    </row>
    <row r="293" spans="1:12" s="22" customFormat="1" ht="13.5">
      <c r="A293" s="88"/>
      <c r="B293" s="88"/>
      <c r="C293" s="214"/>
      <c r="D293" s="270"/>
      <c r="E293" s="89"/>
      <c r="F293" s="200" t="s">
        <v>1094</v>
      </c>
      <c r="G293" s="54">
        <v>412000</v>
      </c>
      <c r="H293" s="20" t="s">
        <v>801</v>
      </c>
      <c r="I293" s="434">
        <f>SUM(I294:I296)</f>
        <v>10450000</v>
      </c>
      <c r="J293" s="434">
        <f>SUM(J294:J296)</f>
        <v>10450000</v>
      </c>
      <c r="K293" s="434">
        <f>SUM(K294:K296)</f>
        <v>5234882.09</v>
      </c>
      <c r="L293" s="517"/>
    </row>
    <row r="294" spans="1:12" ht="12.75">
      <c r="A294" s="86"/>
      <c r="B294" s="86"/>
      <c r="C294" s="214"/>
      <c r="D294" s="270"/>
      <c r="E294" s="87"/>
      <c r="F294" s="200" t="s">
        <v>1095</v>
      </c>
      <c r="G294" s="35">
        <v>412100</v>
      </c>
      <c r="H294" s="4" t="s">
        <v>879</v>
      </c>
      <c r="I294" s="435">
        <v>7000000</v>
      </c>
      <c r="J294" s="435">
        <v>7000000</v>
      </c>
      <c r="K294" s="435">
        <v>3509418.13</v>
      </c>
      <c r="L294" s="517"/>
    </row>
    <row r="295" spans="1:12" ht="12.75">
      <c r="A295" s="82"/>
      <c r="B295" s="82"/>
      <c r="C295" s="214"/>
      <c r="D295" s="270"/>
      <c r="E295" s="83"/>
      <c r="F295" s="200" t="s">
        <v>1096</v>
      </c>
      <c r="G295" s="35">
        <v>412200</v>
      </c>
      <c r="H295" s="4" t="s">
        <v>880</v>
      </c>
      <c r="I295" s="435">
        <v>3000000</v>
      </c>
      <c r="J295" s="435">
        <v>3000000</v>
      </c>
      <c r="K295" s="435">
        <v>1506125.33</v>
      </c>
      <c r="L295" s="517"/>
    </row>
    <row r="296" spans="1:12" ht="12.75">
      <c r="A296" s="82"/>
      <c r="B296" s="82"/>
      <c r="C296" s="214"/>
      <c r="D296" s="270"/>
      <c r="E296" s="83"/>
      <c r="F296" s="200" t="s">
        <v>1097</v>
      </c>
      <c r="G296" s="35">
        <v>412300</v>
      </c>
      <c r="H296" s="4" t="s">
        <v>881</v>
      </c>
      <c r="I296" s="435">
        <v>450000</v>
      </c>
      <c r="J296" s="435">
        <v>450000</v>
      </c>
      <c r="K296" s="435">
        <v>219338.63</v>
      </c>
      <c r="L296" s="517"/>
    </row>
    <row r="297" spans="1:12" s="24" customFormat="1" ht="13.5">
      <c r="A297" s="84"/>
      <c r="B297" s="84"/>
      <c r="C297" s="215"/>
      <c r="D297" s="208"/>
      <c r="E297" s="85"/>
      <c r="F297" s="200" t="s">
        <v>1098</v>
      </c>
      <c r="G297" s="54">
        <v>414000</v>
      </c>
      <c r="H297" s="20" t="s">
        <v>792</v>
      </c>
      <c r="I297" s="434">
        <f>SUM(I298:I298)</f>
        <v>2123600</v>
      </c>
      <c r="J297" s="434">
        <f>SUM(J298:J298)</f>
        <v>2123600</v>
      </c>
      <c r="K297" s="434">
        <f>SUM(K298:K298)</f>
        <v>1069956.8</v>
      </c>
      <c r="L297" s="517"/>
    </row>
    <row r="298" spans="1:12" ht="12.75">
      <c r="A298" s="82"/>
      <c r="B298" s="82"/>
      <c r="C298" s="214"/>
      <c r="D298" s="270"/>
      <c r="E298" s="83"/>
      <c r="F298" s="200" t="s">
        <v>1099</v>
      </c>
      <c r="G298" s="35">
        <v>414300</v>
      </c>
      <c r="H298" s="4" t="s">
        <v>893</v>
      </c>
      <c r="I298" s="435">
        <v>2123600</v>
      </c>
      <c r="J298" s="435">
        <v>2123600</v>
      </c>
      <c r="K298" s="435">
        <v>1069956.8</v>
      </c>
      <c r="L298" s="517"/>
    </row>
    <row r="299" spans="1:12" s="22" customFormat="1" ht="13.5">
      <c r="A299" s="88"/>
      <c r="B299" s="88"/>
      <c r="C299" s="214"/>
      <c r="D299" s="270"/>
      <c r="E299" s="89"/>
      <c r="F299" s="200" t="s">
        <v>1100</v>
      </c>
      <c r="G299" s="54">
        <v>415000</v>
      </c>
      <c r="H299" s="239" t="s">
        <v>852</v>
      </c>
      <c r="I299" s="434">
        <f>I300</f>
        <v>2900000</v>
      </c>
      <c r="J299" s="434">
        <f>J300</f>
        <v>2900000</v>
      </c>
      <c r="K299" s="434">
        <f>K300</f>
        <v>1248167.11</v>
      </c>
      <c r="L299" s="517"/>
    </row>
    <row r="300" spans="1:12" ht="12.75">
      <c r="A300" s="86"/>
      <c r="B300" s="86"/>
      <c r="C300" s="214"/>
      <c r="D300" s="270"/>
      <c r="E300" s="87"/>
      <c r="F300" s="200" t="s">
        <v>1101</v>
      </c>
      <c r="G300" s="35">
        <v>415100</v>
      </c>
      <c r="H300" s="52" t="s">
        <v>928</v>
      </c>
      <c r="I300" s="435">
        <v>2900000</v>
      </c>
      <c r="J300" s="435">
        <v>2900000</v>
      </c>
      <c r="K300" s="435">
        <v>1248167.11</v>
      </c>
      <c r="L300" s="517"/>
    </row>
    <row r="301" spans="1:12" s="22" customFormat="1" ht="13.5">
      <c r="A301" s="88"/>
      <c r="B301" s="88"/>
      <c r="C301" s="214"/>
      <c r="D301" s="270"/>
      <c r="E301" s="89"/>
      <c r="F301" s="200" t="s">
        <v>1102</v>
      </c>
      <c r="G301" s="54">
        <v>416000</v>
      </c>
      <c r="H301" s="20" t="s">
        <v>853</v>
      </c>
      <c r="I301" s="434">
        <f>I302</f>
        <v>350000</v>
      </c>
      <c r="J301" s="434">
        <f>J302</f>
        <v>350000</v>
      </c>
      <c r="K301" s="434">
        <f>K302</f>
        <v>0</v>
      </c>
      <c r="L301" s="517"/>
    </row>
    <row r="302" spans="1:12" s="36" customFormat="1" ht="12.75">
      <c r="A302" s="86"/>
      <c r="B302" s="86"/>
      <c r="C302" s="214"/>
      <c r="D302" s="270"/>
      <c r="E302" s="87"/>
      <c r="F302" s="200" t="s">
        <v>1103</v>
      </c>
      <c r="G302" s="35">
        <v>416100</v>
      </c>
      <c r="H302" s="4" t="s">
        <v>853</v>
      </c>
      <c r="I302" s="435">
        <v>350000</v>
      </c>
      <c r="J302" s="435">
        <v>350000</v>
      </c>
      <c r="K302" s="435">
        <v>0</v>
      </c>
      <c r="L302" s="517"/>
    </row>
    <row r="303" spans="1:12" s="22" customFormat="1" ht="13.5">
      <c r="A303" s="88"/>
      <c r="B303" s="88"/>
      <c r="C303" s="214"/>
      <c r="D303" s="270"/>
      <c r="E303" s="89"/>
      <c r="F303" s="200" t="s">
        <v>1104</v>
      </c>
      <c r="G303" s="529" t="s">
        <v>381</v>
      </c>
      <c r="H303" s="23" t="s">
        <v>384</v>
      </c>
      <c r="I303" s="434">
        <f>I304</f>
        <v>7078700</v>
      </c>
      <c r="J303" s="434">
        <f>J304</f>
        <v>7078700</v>
      </c>
      <c r="K303" s="436">
        <f>K304</f>
        <v>2039323.65</v>
      </c>
      <c r="L303" s="517"/>
    </row>
    <row r="304" spans="1:12" ht="12.75">
      <c r="A304" s="82"/>
      <c r="B304" s="82"/>
      <c r="C304" s="214"/>
      <c r="D304" s="270"/>
      <c r="E304" s="83"/>
      <c r="F304" s="200" t="s">
        <v>1105</v>
      </c>
      <c r="G304" s="524" t="s">
        <v>382</v>
      </c>
      <c r="H304" s="5" t="s">
        <v>383</v>
      </c>
      <c r="I304" s="435">
        <v>7078700</v>
      </c>
      <c r="J304" s="435">
        <v>7078700</v>
      </c>
      <c r="K304" s="435">
        <v>2039323.65</v>
      </c>
      <c r="L304" s="517"/>
    </row>
    <row r="305" spans="1:12" s="22" customFormat="1" ht="13.5">
      <c r="A305" s="88"/>
      <c r="B305" s="88"/>
      <c r="C305" s="214"/>
      <c r="D305" s="270"/>
      <c r="E305" s="89"/>
      <c r="F305" s="200" t="s">
        <v>1106</v>
      </c>
      <c r="G305" s="528" t="s">
        <v>521</v>
      </c>
      <c r="H305" s="25" t="s">
        <v>810</v>
      </c>
      <c r="I305" s="434">
        <f>SUM(I306:I307)</f>
        <v>2000000</v>
      </c>
      <c r="J305" s="434">
        <f>SUM(J306:J307)</f>
        <v>2000000</v>
      </c>
      <c r="K305" s="434">
        <f>SUM(K306:K307)</f>
        <v>1625824.15</v>
      </c>
      <c r="L305" s="517"/>
    </row>
    <row r="306" spans="1:12" ht="12.75">
      <c r="A306" s="86"/>
      <c r="B306" s="86"/>
      <c r="C306" s="214"/>
      <c r="D306" s="270"/>
      <c r="E306" s="87"/>
      <c r="F306" s="200" t="s">
        <v>1107</v>
      </c>
      <c r="G306" s="524" t="s">
        <v>23</v>
      </c>
      <c r="H306" s="6" t="s">
        <v>871</v>
      </c>
      <c r="I306" s="435">
        <v>2000000</v>
      </c>
      <c r="J306" s="435">
        <v>1900000</v>
      </c>
      <c r="K306" s="435">
        <v>1625824.15</v>
      </c>
      <c r="L306" s="517"/>
    </row>
    <row r="307" spans="1:12" ht="12.75">
      <c r="A307" s="86"/>
      <c r="B307" s="86"/>
      <c r="C307" s="214"/>
      <c r="D307" s="270"/>
      <c r="E307" s="87"/>
      <c r="F307" s="200"/>
      <c r="G307" s="524" t="s">
        <v>613</v>
      </c>
      <c r="H307" s="6" t="s">
        <v>872</v>
      </c>
      <c r="I307" s="435"/>
      <c r="J307" s="435">
        <v>100000</v>
      </c>
      <c r="K307" s="435"/>
      <c r="L307" s="517"/>
    </row>
    <row r="308" spans="1:12" s="36" customFormat="1" ht="13.5">
      <c r="A308" s="474"/>
      <c r="B308" s="474"/>
      <c r="C308" s="475"/>
      <c r="D308" s="476"/>
      <c r="E308" s="477"/>
      <c r="F308" s="478"/>
      <c r="G308" s="483"/>
      <c r="H308" s="484" t="s">
        <v>466</v>
      </c>
      <c r="I308" s="616">
        <f>I303+I301+I299+I297+I293+I291+I305</f>
        <v>83902300</v>
      </c>
      <c r="J308" s="616">
        <f>J291+J293+J297+J299+J301+J303+J305</f>
        <v>83902300</v>
      </c>
      <c r="K308" s="603">
        <f>K303+K299+K297+K293+K291+K305+K301</f>
        <v>40463305.669999994</v>
      </c>
      <c r="L308" s="517"/>
    </row>
    <row r="309" spans="1:12" s="36" customFormat="1" ht="13.5" thickBot="1">
      <c r="A309" s="294"/>
      <c r="B309" s="294"/>
      <c r="C309" s="295"/>
      <c r="D309" s="296"/>
      <c r="E309" s="297"/>
      <c r="F309" s="298"/>
      <c r="G309" s="299"/>
      <c r="H309" s="304"/>
      <c r="I309" s="440"/>
      <c r="J309" s="440"/>
      <c r="K309" s="440"/>
      <c r="L309" s="517"/>
    </row>
    <row r="310" spans="1:12" s="55" customFormat="1" ht="14.25" thickBot="1" thickTop="1">
      <c r="A310" s="104"/>
      <c r="B310" s="104">
        <v>7</v>
      </c>
      <c r="C310" s="213" t="s">
        <v>189</v>
      </c>
      <c r="D310" s="267"/>
      <c r="E310" s="105"/>
      <c r="F310" s="198"/>
      <c r="G310" s="525"/>
      <c r="H310" s="119" t="s">
        <v>445</v>
      </c>
      <c r="I310" s="457"/>
      <c r="J310" s="457"/>
      <c r="K310" s="457"/>
      <c r="L310" s="517"/>
    </row>
    <row r="311" spans="1:12" s="55" customFormat="1" ht="12.75" customHeight="1" thickTop="1">
      <c r="A311" s="283"/>
      <c r="B311" s="283"/>
      <c r="C311" s="284"/>
      <c r="D311" s="285" t="s">
        <v>648</v>
      </c>
      <c r="E311" s="286"/>
      <c r="F311" s="301"/>
      <c r="G311" s="526"/>
      <c r="H311" s="288" t="s">
        <v>646</v>
      </c>
      <c r="I311" s="431"/>
      <c r="J311" s="431"/>
      <c r="K311" s="431"/>
      <c r="L311" s="517"/>
    </row>
    <row r="312" spans="1:12" s="55" customFormat="1" ht="24" customHeight="1">
      <c r="A312" s="88"/>
      <c r="B312" s="88"/>
      <c r="C312" s="214"/>
      <c r="D312" s="274" t="s">
        <v>649</v>
      </c>
      <c r="E312" s="89"/>
      <c r="F312" s="200"/>
      <c r="G312" s="527"/>
      <c r="H312" s="125" t="s">
        <v>647</v>
      </c>
      <c r="I312" s="432"/>
      <c r="J312" s="432"/>
      <c r="K312" s="432"/>
      <c r="L312" s="517"/>
    </row>
    <row r="313" spans="1:12" s="55" customFormat="1" ht="13.5">
      <c r="A313" s="88"/>
      <c r="B313" s="88"/>
      <c r="C313" s="214"/>
      <c r="D313" s="270"/>
      <c r="E313" s="89">
        <v>980</v>
      </c>
      <c r="F313" s="200"/>
      <c r="G313" s="534"/>
      <c r="H313" s="91" t="s">
        <v>247</v>
      </c>
      <c r="I313" s="449"/>
      <c r="J313" s="449"/>
      <c r="K313" s="449"/>
      <c r="L313" s="517"/>
    </row>
    <row r="314" spans="1:12" s="55" customFormat="1" ht="12.75">
      <c r="A314" s="88"/>
      <c r="B314" s="88"/>
      <c r="C314" s="214"/>
      <c r="D314" s="270"/>
      <c r="E314" s="89"/>
      <c r="F314" s="200" t="s">
        <v>1108</v>
      </c>
      <c r="G314" s="74" t="s">
        <v>446</v>
      </c>
      <c r="H314" s="41" t="s">
        <v>449</v>
      </c>
      <c r="I314" s="436">
        <f>I315</f>
        <v>3445440</v>
      </c>
      <c r="J314" s="436">
        <f>J315</f>
        <v>3445440</v>
      </c>
      <c r="K314" s="436">
        <f>K315</f>
        <v>1672699.27</v>
      </c>
      <c r="L314" s="517"/>
    </row>
    <row r="315" spans="1:12" s="36" customFormat="1" ht="12.75">
      <c r="A315" s="86"/>
      <c r="B315" s="86"/>
      <c r="C315" s="214"/>
      <c r="D315" s="270"/>
      <c r="E315" s="87"/>
      <c r="F315" s="200" t="s">
        <v>1109</v>
      </c>
      <c r="G315" s="35" t="s">
        <v>448</v>
      </c>
      <c r="H315" s="5" t="s">
        <v>449</v>
      </c>
      <c r="I315" s="435">
        <v>3445440</v>
      </c>
      <c r="J315" s="435">
        <v>3445440</v>
      </c>
      <c r="K315" s="435">
        <v>1672699.27</v>
      </c>
      <c r="L315" s="517"/>
    </row>
    <row r="316" spans="1:12" s="36" customFormat="1" ht="12.75">
      <c r="A316" s="82"/>
      <c r="B316" s="82"/>
      <c r="C316" s="214"/>
      <c r="D316" s="270"/>
      <c r="E316" s="83"/>
      <c r="F316" s="200"/>
      <c r="G316" s="529" t="s">
        <v>447</v>
      </c>
      <c r="H316" s="290" t="s">
        <v>801</v>
      </c>
      <c r="I316" s="436">
        <f>I317+I318+I319</f>
        <v>616732</v>
      </c>
      <c r="J316" s="436">
        <f>J317+J318+J319</f>
        <v>616732</v>
      </c>
      <c r="K316" s="436">
        <f>K317+K318+K319</f>
        <v>299413.16000000003</v>
      </c>
      <c r="L316" s="517"/>
    </row>
    <row r="317" spans="1:12" s="36" customFormat="1" ht="12.75">
      <c r="A317" s="82"/>
      <c r="B317" s="82"/>
      <c r="C317" s="214"/>
      <c r="D317" s="270"/>
      <c r="E317" s="83"/>
      <c r="F317" s="200"/>
      <c r="G317" s="524" t="s">
        <v>450</v>
      </c>
      <c r="H317" s="291" t="s">
        <v>879</v>
      </c>
      <c r="I317" s="435">
        <v>413452</v>
      </c>
      <c r="J317" s="435">
        <v>413452</v>
      </c>
      <c r="K317" s="435">
        <v>200723.91</v>
      </c>
      <c r="L317" s="517"/>
    </row>
    <row r="318" spans="1:12" s="36" customFormat="1" ht="12.75">
      <c r="A318" s="82"/>
      <c r="B318" s="82"/>
      <c r="C318" s="214"/>
      <c r="D318" s="270"/>
      <c r="E318" s="83"/>
      <c r="F318" s="200"/>
      <c r="G318" s="524" t="s">
        <v>451</v>
      </c>
      <c r="H318" s="319" t="s">
        <v>880</v>
      </c>
      <c r="I318" s="435">
        <v>177440</v>
      </c>
      <c r="J318" s="435">
        <v>177440</v>
      </c>
      <c r="K318" s="435">
        <v>86144</v>
      </c>
      <c r="L318" s="517"/>
    </row>
    <row r="319" spans="1:12" s="36" customFormat="1" ht="12.75">
      <c r="A319" s="82"/>
      <c r="B319" s="82"/>
      <c r="C319" s="214"/>
      <c r="D319" s="270"/>
      <c r="E319" s="83"/>
      <c r="F319" s="200"/>
      <c r="G319" s="524" t="s">
        <v>452</v>
      </c>
      <c r="H319" s="291" t="s">
        <v>881</v>
      </c>
      <c r="I319" s="435">
        <v>25840</v>
      </c>
      <c r="J319" s="435">
        <v>25840</v>
      </c>
      <c r="K319" s="435">
        <v>12545.25</v>
      </c>
      <c r="L319" s="517"/>
    </row>
    <row r="320" spans="1:12" s="36" customFormat="1" ht="12.75">
      <c r="A320" s="82"/>
      <c r="B320" s="82"/>
      <c r="C320" s="214"/>
      <c r="D320" s="270"/>
      <c r="E320" s="83"/>
      <c r="F320" s="200"/>
      <c r="G320" s="529" t="s">
        <v>364</v>
      </c>
      <c r="H320" s="290" t="s">
        <v>792</v>
      </c>
      <c r="I320" s="436">
        <f>I321</f>
        <v>125644</v>
      </c>
      <c r="J320" s="436">
        <f>J321</f>
        <v>125644</v>
      </c>
      <c r="K320" s="436">
        <f>K321</f>
        <v>0</v>
      </c>
      <c r="L320" s="517"/>
    </row>
    <row r="321" spans="1:12" s="36" customFormat="1" ht="12.75">
      <c r="A321" s="82"/>
      <c r="B321" s="82"/>
      <c r="C321" s="214"/>
      <c r="D321" s="270"/>
      <c r="E321" s="83"/>
      <c r="F321" s="200"/>
      <c r="G321" s="524" t="s">
        <v>365</v>
      </c>
      <c r="H321" s="291" t="s">
        <v>1600</v>
      </c>
      <c r="I321" s="435">
        <v>125644</v>
      </c>
      <c r="J321" s="435">
        <v>125644</v>
      </c>
      <c r="K321" s="435">
        <v>0</v>
      </c>
      <c r="L321" s="517"/>
    </row>
    <row r="322" spans="1:12" s="36" customFormat="1" ht="12.75">
      <c r="A322" s="82"/>
      <c r="B322" s="82"/>
      <c r="C322" s="214"/>
      <c r="D322" s="270"/>
      <c r="E322" s="83"/>
      <c r="F322" s="200"/>
      <c r="G322" s="529" t="s">
        <v>453</v>
      </c>
      <c r="H322" s="290" t="s">
        <v>792</v>
      </c>
      <c r="I322" s="436">
        <f>I323</f>
        <v>144000</v>
      </c>
      <c r="J322" s="436">
        <f>J323</f>
        <v>144000</v>
      </c>
      <c r="K322" s="436">
        <f>K323</f>
        <v>46101</v>
      </c>
      <c r="L322" s="517"/>
    </row>
    <row r="323" spans="1:12" s="36" customFormat="1" ht="12.75">
      <c r="A323" s="82"/>
      <c r="B323" s="82"/>
      <c r="C323" s="214"/>
      <c r="D323" s="270"/>
      <c r="E323" s="83"/>
      <c r="F323" s="200"/>
      <c r="G323" s="524" t="s">
        <v>454</v>
      </c>
      <c r="H323" s="291" t="s">
        <v>852</v>
      </c>
      <c r="I323" s="435">
        <v>144000</v>
      </c>
      <c r="J323" s="435">
        <v>144000</v>
      </c>
      <c r="K323" s="435">
        <v>46101</v>
      </c>
      <c r="L323" s="517"/>
    </row>
    <row r="324" spans="1:12" s="36" customFormat="1" ht="12.75">
      <c r="A324" s="82"/>
      <c r="B324" s="82"/>
      <c r="C324" s="214"/>
      <c r="D324" s="270"/>
      <c r="E324" s="83"/>
      <c r="F324" s="200"/>
      <c r="G324" s="529" t="s">
        <v>455</v>
      </c>
      <c r="H324" s="290" t="s">
        <v>853</v>
      </c>
      <c r="I324" s="436">
        <f>I325</f>
        <v>40000</v>
      </c>
      <c r="J324" s="436">
        <f>J325</f>
        <v>40000</v>
      </c>
      <c r="K324" s="436">
        <f>K325</f>
        <v>35659.68</v>
      </c>
      <c r="L324" s="517"/>
    </row>
    <row r="325" spans="1:12" s="36" customFormat="1" ht="12.75">
      <c r="A325" s="82"/>
      <c r="B325" s="82"/>
      <c r="C325" s="214"/>
      <c r="D325" s="270"/>
      <c r="E325" s="83"/>
      <c r="F325" s="200"/>
      <c r="G325" s="524" t="s">
        <v>456</v>
      </c>
      <c r="H325" s="291" t="s">
        <v>853</v>
      </c>
      <c r="I325" s="435">
        <v>40000</v>
      </c>
      <c r="J325" s="435">
        <v>40000</v>
      </c>
      <c r="K325" s="435">
        <v>35659.68</v>
      </c>
      <c r="L325" s="517"/>
    </row>
    <row r="326" spans="1:12" s="36" customFormat="1" ht="12.75">
      <c r="A326" s="82"/>
      <c r="B326" s="82"/>
      <c r="C326" s="214"/>
      <c r="D326" s="270"/>
      <c r="E326" s="83"/>
      <c r="F326" s="200"/>
      <c r="G326" s="529" t="s">
        <v>604</v>
      </c>
      <c r="H326" s="290" t="s">
        <v>791</v>
      </c>
      <c r="I326" s="436">
        <f>I327+I328+I329+I330</f>
        <v>120000</v>
      </c>
      <c r="J326" s="436">
        <f>J327+J328+J329+J330</f>
        <v>120000</v>
      </c>
      <c r="K326" s="436">
        <f>K327+K328+K329+K330</f>
        <v>42742.21</v>
      </c>
      <c r="L326" s="517"/>
    </row>
    <row r="327" spans="1:12" s="36" customFormat="1" ht="12.75">
      <c r="A327" s="82"/>
      <c r="B327" s="82"/>
      <c r="C327" s="214"/>
      <c r="D327" s="270"/>
      <c r="E327" s="83"/>
      <c r="F327" s="200"/>
      <c r="G327" s="524" t="s">
        <v>457</v>
      </c>
      <c r="H327" s="291" t="s">
        <v>894</v>
      </c>
      <c r="I327" s="435">
        <v>20000</v>
      </c>
      <c r="J327" s="435">
        <v>20000</v>
      </c>
      <c r="K327" s="435">
        <v>2166.71</v>
      </c>
      <c r="L327" s="517"/>
    </row>
    <row r="328" spans="1:12" s="36" customFormat="1" ht="12.75">
      <c r="A328" s="82"/>
      <c r="B328" s="82"/>
      <c r="C328" s="214"/>
      <c r="D328" s="270"/>
      <c r="E328" s="83"/>
      <c r="F328" s="200"/>
      <c r="G328" s="524" t="s">
        <v>605</v>
      </c>
      <c r="H328" s="291" t="s">
        <v>920</v>
      </c>
      <c r="I328" s="435">
        <v>50000</v>
      </c>
      <c r="J328" s="435">
        <v>50000</v>
      </c>
      <c r="K328" s="435">
        <v>33999.18</v>
      </c>
      <c r="L328" s="517"/>
    </row>
    <row r="329" spans="1:12" s="36" customFormat="1" ht="12.75">
      <c r="A329" s="82"/>
      <c r="B329" s="82"/>
      <c r="C329" s="214"/>
      <c r="D329" s="270"/>
      <c r="E329" s="83"/>
      <c r="F329" s="200"/>
      <c r="G329" s="524" t="s">
        <v>606</v>
      </c>
      <c r="H329" s="291" t="s">
        <v>896</v>
      </c>
      <c r="I329" s="435">
        <v>30000</v>
      </c>
      <c r="J329" s="435">
        <v>30000</v>
      </c>
      <c r="K329" s="435">
        <v>0</v>
      </c>
      <c r="L329" s="517"/>
    </row>
    <row r="330" spans="1:12" s="36" customFormat="1" ht="12.75">
      <c r="A330" s="82"/>
      <c r="B330" s="82"/>
      <c r="C330" s="214"/>
      <c r="D330" s="270"/>
      <c r="E330" s="83"/>
      <c r="F330" s="200"/>
      <c r="G330" s="524" t="s">
        <v>458</v>
      </c>
      <c r="H330" s="291" t="s">
        <v>883</v>
      </c>
      <c r="I330" s="435">
        <v>20000</v>
      </c>
      <c r="J330" s="435">
        <v>20000</v>
      </c>
      <c r="K330" s="435">
        <v>6576.32</v>
      </c>
      <c r="L330" s="517"/>
    </row>
    <row r="331" spans="1:12" s="36" customFormat="1" ht="12.75">
      <c r="A331" s="82"/>
      <c r="B331" s="82"/>
      <c r="C331" s="214"/>
      <c r="D331" s="270"/>
      <c r="E331" s="83"/>
      <c r="F331" s="200"/>
      <c r="G331" s="529" t="s">
        <v>361</v>
      </c>
      <c r="H331" s="290" t="s">
        <v>800</v>
      </c>
      <c r="I331" s="436">
        <f>I332+I333</f>
        <v>60000</v>
      </c>
      <c r="J331" s="436">
        <f>J332+J333</f>
        <v>60000</v>
      </c>
      <c r="K331" s="436">
        <f>K332+K333</f>
        <v>0</v>
      </c>
      <c r="L331" s="517"/>
    </row>
    <row r="332" spans="1:12" s="36" customFormat="1" ht="12.75">
      <c r="A332" s="82"/>
      <c r="B332" s="82"/>
      <c r="C332" s="214"/>
      <c r="D332" s="270"/>
      <c r="E332" s="83"/>
      <c r="F332" s="200"/>
      <c r="G332" s="524" t="s">
        <v>462</v>
      </c>
      <c r="H332" s="291" t="s">
        <v>1601</v>
      </c>
      <c r="I332" s="435">
        <v>10000</v>
      </c>
      <c r="J332" s="435">
        <v>10000</v>
      </c>
      <c r="K332" s="435">
        <v>0</v>
      </c>
      <c r="L332" s="517"/>
    </row>
    <row r="333" spans="1:12" s="36" customFormat="1" ht="12.75">
      <c r="A333" s="82"/>
      <c r="B333" s="82"/>
      <c r="C333" s="214"/>
      <c r="D333" s="270"/>
      <c r="E333" s="83"/>
      <c r="F333" s="200"/>
      <c r="G333" s="524" t="s">
        <v>612</v>
      </c>
      <c r="H333" s="291" t="s">
        <v>1616</v>
      </c>
      <c r="I333" s="435">
        <v>50000</v>
      </c>
      <c r="J333" s="435">
        <v>50000</v>
      </c>
      <c r="K333" s="435">
        <v>0</v>
      </c>
      <c r="L333" s="517"/>
    </row>
    <row r="334" spans="1:12" s="36" customFormat="1" ht="12.75">
      <c r="A334" s="82"/>
      <c r="B334" s="82"/>
      <c r="C334" s="214"/>
      <c r="D334" s="270"/>
      <c r="E334" s="83"/>
      <c r="F334" s="200"/>
      <c r="G334" s="529" t="s">
        <v>607</v>
      </c>
      <c r="H334" s="290" t="s">
        <v>797</v>
      </c>
      <c r="I334" s="436">
        <f>I335+I336</f>
        <v>100000</v>
      </c>
      <c r="J334" s="436">
        <f>J335+J336</f>
        <v>252195</v>
      </c>
      <c r="K334" s="436">
        <f>K335+K336</f>
        <v>126140</v>
      </c>
      <c r="L334" s="517"/>
    </row>
    <row r="335" spans="1:12" s="36" customFormat="1" ht="12.75">
      <c r="A335" s="82"/>
      <c r="B335" s="82"/>
      <c r="C335" s="214"/>
      <c r="D335" s="270"/>
      <c r="E335" s="83"/>
      <c r="F335" s="200"/>
      <c r="G335" s="524" t="s">
        <v>608</v>
      </c>
      <c r="H335" s="291" t="s">
        <v>909</v>
      </c>
      <c r="I335" s="435">
        <v>50000</v>
      </c>
      <c r="J335" s="842">
        <v>202195</v>
      </c>
      <c r="K335" s="435">
        <v>126140</v>
      </c>
      <c r="L335" s="517"/>
    </row>
    <row r="336" spans="1:12" s="36" customFormat="1" ht="12.75">
      <c r="A336" s="82"/>
      <c r="B336" s="82"/>
      <c r="C336" s="214"/>
      <c r="D336" s="270"/>
      <c r="E336" s="83"/>
      <c r="F336" s="200"/>
      <c r="G336" s="524" t="s">
        <v>617</v>
      </c>
      <c r="H336" s="291" t="s">
        <v>910</v>
      </c>
      <c r="I336" s="435">
        <v>50000</v>
      </c>
      <c r="J336" s="435">
        <v>50000</v>
      </c>
      <c r="K336" s="435">
        <v>0</v>
      </c>
      <c r="L336" s="517"/>
    </row>
    <row r="337" spans="1:12" s="36" customFormat="1" ht="12.75">
      <c r="A337" s="82"/>
      <c r="B337" s="82"/>
      <c r="C337" s="214"/>
      <c r="D337" s="270"/>
      <c r="E337" s="83"/>
      <c r="F337" s="200"/>
      <c r="G337" s="529" t="s">
        <v>463</v>
      </c>
      <c r="H337" s="290" t="s">
        <v>795</v>
      </c>
      <c r="I337" s="436">
        <f>I338+I339+I340</f>
        <v>120000</v>
      </c>
      <c r="J337" s="436">
        <f>J338+J339+J340</f>
        <v>120000</v>
      </c>
      <c r="K337" s="436">
        <f>K338+K339+K340</f>
        <v>0</v>
      </c>
      <c r="L337" s="517"/>
    </row>
    <row r="338" spans="1:12" s="36" customFormat="1" ht="12.75">
      <c r="A338" s="82"/>
      <c r="B338" s="82"/>
      <c r="C338" s="214"/>
      <c r="D338" s="270"/>
      <c r="E338" s="83"/>
      <c r="F338" s="200"/>
      <c r="G338" s="524" t="s">
        <v>464</v>
      </c>
      <c r="H338" s="291" t="s">
        <v>911</v>
      </c>
      <c r="I338" s="435">
        <v>55000</v>
      </c>
      <c r="J338" s="435">
        <v>55000</v>
      </c>
      <c r="K338" s="435">
        <v>0</v>
      </c>
      <c r="L338" s="517"/>
    </row>
    <row r="339" spans="1:12" s="36" customFormat="1" ht="14.25" customHeight="1">
      <c r="A339" s="82"/>
      <c r="B339" s="82"/>
      <c r="C339" s="214"/>
      <c r="D339" s="270"/>
      <c r="E339" s="83"/>
      <c r="F339" s="200"/>
      <c r="G339" s="524" t="s">
        <v>594</v>
      </c>
      <c r="H339" s="291" t="s">
        <v>595</v>
      </c>
      <c r="I339" s="435">
        <v>40000</v>
      </c>
      <c r="J339" s="435">
        <v>40000</v>
      </c>
      <c r="K339" s="435">
        <v>0</v>
      </c>
      <c r="L339" s="517"/>
    </row>
    <row r="340" spans="1:12" s="36" customFormat="1" ht="14.25" customHeight="1">
      <c r="A340" s="82"/>
      <c r="B340" s="82"/>
      <c r="C340" s="214"/>
      <c r="D340" s="270"/>
      <c r="E340" s="83"/>
      <c r="F340" s="200"/>
      <c r="G340" s="524" t="s">
        <v>465</v>
      </c>
      <c r="H340" s="291" t="s">
        <v>1602</v>
      </c>
      <c r="I340" s="435">
        <v>25000</v>
      </c>
      <c r="J340" s="435">
        <v>25000</v>
      </c>
      <c r="K340" s="435">
        <v>0</v>
      </c>
      <c r="L340" s="517"/>
    </row>
    <row r="341" spans="1:12" s="36" customFormat="1" ht="12.75">
      <c r="A341" s="82"/>
      <c r="B341" s="82"/>
      <c r="C341" s="214"/>
      <c r="D341" s="270"/>
      <c r="E341" s="83"/>
      <c r="F341" s="200"/>
      <c r="G341" s="529" t="s">
        <v>381</v>
      </c>
      <c r="H341" s="290" t="s">
        <v>384</v>
      </c>
      <c r="I341" s="436">
        <f>I342</f>
        <v>406218</v>
      </c>
      <c r="J341" s="436">
        <f>J342</f>
        <v>406218</v>
      </c>
      <c r="K341" s="436">
        <f>K342</f>
        <v>146905.46</v>
      </c>
      <c r="L341" s="517"/>
    </row>
    <row r="342" spans="1:12" s="36" customFormat="1" ht="12.75">
      <c r="A342" s="82"/>
      <c r="B342" s="82"/>
      <c r="C342" s="214"/>
      <c r="D342" s="270"/>
      <c r="E342" s="83"/>
      <c r="F342" s="200"/>
      <c r="G342" s="524" t="s">
        <v>382</v>
      </c>
      <c r="H342" s="291" t="s">
        <v>383</v>
      </c>
      <c r="I342" s="435">
        <v>406218</v>
      </c>
      <c r="J342" s="435">
        <v>406218</v>
      </c>
      <c r="K342" s="435">
        <v>146905.46</v>
      </c>
      <c r="L342" s="517"/>
    </row>
    <row r="343" spans="1:12" s="36" customFormat="1" ht="12.75">
      <c r="A343" s="474"/>
      <c r="B343" s="474"/>
      <c r="C343" s="475"/>
      <c r="D343" s="476"/>
      <c r="E343" s="477"/>
      <c r="F343" s="478"/>
      <c r="G343" s="483"/>
      <c r="H343" s="484" t="s">
        <v>579</v>
      </c>
      <c r="I343" s="481">
        <f>I314+I316+I320+I322+I324+I326+I331+I334+I337+I341</f>
        <v>5178034</v>
      </c>
      <c r="J343" s="481">
        <f>J314+J316+J320+J322+J324+J326+J331+J334+J337+J341</f>
        <v>5330229</v>
      </c>
      <c r="K343" s="603">
        <f>K314+K316+K320+K322+K324+K326+K331+K334+K337+K341</f>
        <v>2369660.7800000003</v>
      </c>
      <c r="L343" s="517"/>
    </row>
    <row r="344" spans="1:12" s="55" customFormat="1" ht="14.25" thickBot="1">
      <c r="A344" s="311"/>
      <c r="B344" s="311"/>
      <c r="C344" s="295"/>
      <c r="D344" s="296"/>
      <c r="E344" s="312"/>
      <c r="F344" s="298"/>
      <c r="G344" s="537"/>
      <c r="H344" s="313"/>
      <c r="I344" s="458"/>
      <c r="J344" s="458"/>
      <c r="K344" s="458"/>
      <c r="L344" s="517"/>
    </row>
    <row r="345" spans="1:12" s="55" customFormat="1" ht="14.25" thickBot="1" thickTop="1">
      <c r="A345" s="104"/>
      <c r="B345" s="104">
        <v>8</v>
      </c>
      <c r="C345" s="213" t="s">
        <v>180</v>
      </c>
      <c r="D345" s="267"/>
      <c r="E345" s="105"/>
      <c r="F345" s="198"/>
      <c r="G345" s="525"/>
      <c r="H345" s="119" t="s">
        <v>929</v>
      </c>
      <c r="I345" s="457"/>
      <c r="J345" s="457"/>
      <c r="K345" s="457"/>
      <c r="L345" s="517"/>
    </row>
    <row r="346" spans="1:12" s="55" customFormat="1" ht="12.75" customHeight="1" thickTop="1">
      <c r="A346" s="283"/>
      <c r="B346" s="283"/>
      <c r="C346" s="284"/>
      <c r="D346" s="285" t="s">
        <v>572</v>
      </c>
      <c r="E346" s="286"/>
      <c r="F346" s="301"/>
      <c r="G346" s="526"/>
      <c r="H346" s="288" t="s">
        <v>571</v>
      </c>
      <c r="I346" s="431"/>
      <c r="J346" s="431"/>
      <c r="K346" s="431"/>
      <c r="L346" s="517"/>
    </row>
    <row r="347" spans="1:12" s="55" customFormat="1" ht="28.5" customHeight="1">
      <c r="A347" s="88"/>
      <c r="B347" s="88"/>
      <c r="C347" s="214"/>
      <c r="D347" s="274" t="s">
        <v>763</v>
      </c>
      <c r="E347" s="89"/>
      <c r="F347" s="200"/>
      <c r="G347" s="527"/>
      <c r="H347" s="125" t="s">
        <v>764</v>
      </c>
      <c r="I347" s="432"/>
      <c r="J347" s="432"/>
      <c r="K347" s="432"/>
      <c r="L347" s="517"/>
    </row>
    <row r="348" spans="1:12" s="55" customFormat="1" ht="13.5">
      <c r="A348" s="88"/>
      <c r="B348" s="88"/>
      <c r="C348" s="214"/>
      <c r="D348" s="270"/>
      <c r="E348" s="89">
        <v>980</v>
      </c>
      <c r="F348" s="200"/>
      <c r="G348" s="534"/>
      <c r="H348" s="91" t="s">
        <v>247</v>
      </c>
      <c r="I348" s="449"/>
      <c r="J348" s="449"/>
      <c r="K348" s="449"/>
      <c r="L348" s="517"/>
    </row>
    <row r="349" spans="1:12" s="55" customFormat="1" ht="13.5">
      <c r="A349" s="88"/>
      <c r="B349" s="88"/>
      <c r="C349" s="214"/>
      <c r="D349" s="270"/>
      <c r="E349" s="89"/>
      <c r="F349" s="200" t="s">
        <v>1110</v>
      </c>
      <c r="G349" s="54">
        <v>472000</v>
      </c>
      <c r="H349" s="23" t="s">
        <v>810</v>
      </c>
      <c r="I349" s="434">
        <f>I350</f>
        <v>4000000</v>
      </c>
      <c r="J349" s="434">
        <f>J350</f>
        <v>4000000</v>
      </c>
      <c r="K349" s="434">
        <f>K350</f>
        <v>469000</v>
      </c>
      <c r="L349" s="517"/>
    </row>
    <row r="350" spans="1:12" s="36" customFormat="1" ht="13.5" customHeight="1">
      <c r="A350" s="86"/>
      <c r="B350" s="86"/>
      <c r="C350" s="214"/>
      <c r="D350" s="270"/>
      <c r="E350" s="87"/>
      <c r="F350" s="200" t="s">
        <v>1111</v>
      </c>
      <c r="G350" s="524">
        <v>472700</v>
      </c>
      <c r="H350" s="4" t="s">
        <v>926</v>
      </c>
      <c r="I350" s="435">
        <v>4000000</v>
      </c>
      <c r="J350" s="435">
        <v>4000000</v>
      </c>
      <c r="K350" s="435">
        <v>469000</v>
      </c>
      <c r="L350" s="517"/>
    </row>
    <row r="351" spans="1:12" s="36" customFormat="1" ht="12.75">
      <c r="A351" s="474"/>
      <c r="B351" s="474"/>
      <c r="C351" s="475"/>
      <c r="D351" s="476"/>
      <c r="E351" s="477"/>
      <c r="F351" s="478"/>
      <c r="G351" s="483"/>
      <c r="H351" s="484" t="s">
        <v>0</v>
      </c>
      <c r="I351" s="481">
        <f>I349</f>
        <v>4000000</v>
      </c>
      <c r="J351" s="481">
        <f>J349</f>
        <v>4000000</v>
      </c>
      <c r="K351" s="603">
        <f>K349</f>
        <v>469000</v>
      </c>
      <c r="L351" s="517"/>
    </row>
    <row r="352" spans="1:12" s="55" customFormat="1" ht="14.25" thickBot="1">
      <c r="A352" s="311"/>
      <c r="B352" s="311"/>
      <c r="C352" s="295"/>
      <c r="D352" s="296"/>
      <c r="E352" s="312"/>
      <c r="F352" s="298"/>
      <c r="G352" s="537"/>
      <c r="H352" s="313"/>
      <c r="I352" s="458"/>
      <c r="J352" s="458"/>
      <c r="K352" s="458"/>
      <c r="L352" s="517"/>
    </row>
    <row r="353" spans="1:12" s="31" customFormat="1" ht="15" thickBot="1" thickTop="1">
      <c r="A353" s="123"/>
      <c r="B353" s="123">
        <v>9</v>
      </c>
      <c r="C353" s="210" t="s">
        <v>186</v>
      </c>
      <c r="D353" s="276"/>
      <c r="E353" s="124"/>
      <c r="F353" s="204"/>
      <c r="G353" s="538"/>
      <c r="H353" s="119" t="s">
        <v>238</v>
      </c>
      <c r="I353" s="452"/>
      <c r="J353" s="452"/>
      <c r="K353" s="452"/>
      <c r="L353" s="517"/>
    </row>
    <row r="354" spans="1:12" s="22" customFormat="1" ht="12.75" customHeight="1" thickTop="1">
      <c r="A354" s="283"/>
      <c r="B354" s="283"/>
      <c r="C354" s="314"/>
      <c r="D354" s="285" t="s">
        <v>558</v>
      </c>
      <c r="E354" s="286"/>
      <c r="F354" s="301"/>
      <c r="G354" s="526"/>
      <c r="H354" s="288" t="s">
        <v>557</v>
      </c>
      <c r="I354" s="431"/>
      <c r="J354" s="431"/>
      <c r="K354" s="431"/>
      <c r="L354" s="517"/>
    </row>
    <row r="355" spans="1:12" s="22" customFormat="1" ht="33" customHeight="1">
      <c r="A355" s="88"/>
      <c r="B355" s="88"/>
      <c r="C355" s="83"/>
      <c r="D355" s="274" t="s">
        <v>559</v>
      </c>
      <c r="E355" s="89"/>
      <c r="F355" s="200"/>
      <c r="G355" s="527"/>
      <c r="H355" s="125" t="s">
        <v>560</v>
      </c>
      <c r="I355" s="432"/>
      <c r="J355" s="432"/>
      <c r="K355" s="432"/>
      <c r="L355" s="517"/>
    </row>
    <row r="356" spans="1:12" s="22" customFormat="1" ht="13.5">
      <c r="A356" s="88"/>
      <c r="B356" s="88"/>
      <c r="C356" s="83"/>
      <c r="D356" s="270"/>
      <c r="E356" s="89">
        <v>760</v>
      </c>
      <c r="F356" s="200"/>
      <c r="G356" s="535"/>
      <c r="H356" s="91" t="s">
        <v>248</v>
      </c>
      <c r="I356" s="453"/>
      <c r="J356" s="453"/>
      <c r="K356" s="453"/>
      <c r="L356" s="517"/>
    </row>
    <row r="357" spans="1:12" s="22" customFormat="1" ht="13.5">
      <c r="A357" s="88"/>
      <c r="B357" s="88"/>
      <c r="C357" s="83"/>
      <c r="D357" s="270"/>
      <c r="E357" s="89"/>
      <c r="F357" s="200" t="s">
        <v>1112</v>
      </c>
      <c r="G357" s="54" t="s">
        <v>645</v>
      </c>
      <c r="H357" s="23" t="s">
        <v>856</v>
      </c>
      <c r="I357" s="434">
        <f>I358+I359</f>
        <v>14000000</v>
      </c>
      <c r="J357" s="434">
        <f>J358+J359</f>
        <v>14000000</v>
      </c>
      <c r="K357" s="434">
        <f>K358+K359</f>
        <v>4004067.4</v>
      </c>
      <c r="L357" s="517"/>
    </row>
    <row r="358" spans="1:12" s="8" customFormat="1" ht="21" customHeight="1">
      <c r="A358" s="86"/>
      <c r="B358" s="86"/>
      <c r="C358" s="83"/>
      <c r="D358" s="270"/>
      <c r="E358" s="87"/>
      <c r="F358" s="200" t="s">
        <v>1113</v>
      </c>
      <c r="G358" s="35" t="s">
        <v>748</v>
      </c>
      <c r="H358" s="5" t="s">
        <v>750</v>
      </c>
      <c r="I358" s="435">
        <v>9000000</v>
      </c>
      <c r="J358" s="435">
        <v>9000000</v>
      </c>
      <c r="K358" s="435">
        <v>3164558.9</v>
      </c>
      <c r="L358" s="517"/>
    </row>
    <row r="359" spans="1:12" ht="25.5">
      <c r="A359" s="82"/>
      <c r="B359" s="82"/>
      <c r="C359" s="83"/>
      <c r="D359" s="270"/>
      <c r="E359" s="83"/>
      <c r="F359" s="200" t="s">
        <v>1114</v>
      </c>
      <c r="G359" s="524" t="s">
        <v>749</v>
      </c>
      <c r="H359" s="5" t="s">
        <v>751</v>
      </c>
      <c r="I359" s="435">
        <v>5000000</v>
      </c>
      <c r="J359" s="435">
        <v>5000000</v>
      </c>
      <c r="K359" s="435">
        <v>839508.5</v>
      </c>
      <c r="L359" s="517"/>
    </row>
    <row r="360" spans="1:12" s="36" customFormat="1" ht="12.75">
      <c r="A360" s="474"/>
      <c r="B360" s="474"/>
      <c r="C360" s="477"/>
      <c r="D360" s="476"/>
      <c r="E360" s="477"/>
      <c r="F360" s="478"/>
      <c r="G360" s="483"/>
      <c r="H360" s="484" t="s">
        <v>1</v>
      </c>
      <c r="I360" s="481">
        <f>I357</f>
        <v>14000000</v>
      </c>
      <c r="J360" s="481">
        <f>J357</f>
        <v>14000000</v>
      </c>
      <c r="K360" s="603">
        <f>K357</f>
        <v>4004067.4</v>
      </c>
      <c r="L360" s="517"/>
    </row>
    <row r="361" spans="1:12" s="36" customFormat="1" ht="13.5" thickBot="1">
      <c r="A361" s="294"/>
      <c r="B361" s="294"/>
      <c r="C361" s="297"/>
      <c r="D361" s="296"/>
      <c r="E361" s="297"/>
      <c r="F361" s="298"/>
      <c r="G361" s="299"/>
      <c r="H361" s="304"/>
      <c r="I361" s="440"/>
      <c r="J361" s="440"/>
      <c r="K361" s="440"/>
      <c r="L361" s="517"/>
    </row>
    <row r="362" spans="1:12" s="22" customFormat="1" ht="14.25" thickBot="1" thickTop="1">
      <c r="A362" s="104"/>
      <c r="B362" s="104">
        <v>10</v>
      </c>
      <c r="C362" s="144" t="s">
        <v>187</v>
      </c>
      <c r="D362" s="267"/>
      <c r="E362" s="105"/>
      <c r="F362" s="198"/>
      <c r="G362" s="525"/>
      <c r="H362" s="119" t="s">
        <v>931</v>
      </c>
      <c r="I362" s="459"/>
      <c r="J362" s="459"/>
      <c r="K362" s="459"/>
      <c r="L362" s="517"/>
    </row>
    <row r="363" spans="1:12" s="22" customFormat="1" ht="12.75" customHeight="1" thickTop="1">
      <c r="A363" s="283"/>
      <c r="B363" s="283"/>
      <c r="C363" s="314"/>
      <c r="D363" s="285" t="s">
        <v>562</v>
      </c>
      <c r="E363" s="286"/>
      <c r="F363" s="301"/>
      <c r="G363" s="526"/>
      <c r="H363" s="288" t="s">
        <v>561</v>
      </c>
      <c r="I363" s="431"/>
      <c r="J363" s="431"/>
      <c r="K363" s="431"/>
      <c r="L363" s="517"/>
    </row>
    <row r="364" spans="1:12" s="22" customFormat="1" ht="17.25" customHeight="1">
      <c r="A364" s="88"/>
      <c r="B364" s="88"/>
      <c r="C364" s="83"/>
      <c r="D364" s="274" t="s">
        <v>564</v>
      </c>
      <c r="E364" s="89"/>
      <c r="F364" s="200"/>
      <c r="G364" s="527"/>
      <c r="H364" s="125" t="s">
        <v>565</v>
      </c>
      <c r="I364" s="432"/>
      <c r="J364" s="432"/>
      <c r="K364" s="432"/>
      <c r="L364" s="517"/>
    </row>
    <row r="365" spans="1:12" s="22" customFormat="1" ht="13.5">
      <c r="A365" s="88"/>
      <c r="B365" s="88"/>
      <c r="C365" s="83"/>
      <c r="D365" s="270"/>
      <c r="E365" s="89" t="s">
        <v>226</v>
      </c>
      <c r="F365" s="200"/>
      <c r="G365" s="539"/>
      <c r="H365" s="91" t="s">
        <v>835</v>
      </c>
      <c r="I365" s="460"/>
      <c r="J365" s="460"/>
      <c r="K365" s="460"/>
      <c r="L365" s="517"/>
    </row>
    <row r="366" spans="1:12" s="22" customFormat="1" ht="13.5">
      <c r="A366" s="88"/>
      <c r="B366" s="88"/>
      <c r="C366" s="83"/>
      <c r="D366" s="270"/>
      <c r="E366" s="89"/>
      <c r="F366" s="200" t="s">
        <v>1115</v>
      </c>
      <c r="G366" s="54">
        <v>472000</v>
      </c>
      <c r="H366" s="23" t="s">
        <v>932</v>
      </c>
      <c r="I366" s="434">
        <f>I367</f>
        <v>6000000</v>
      </c>
      <c r="J366" s="434">
        <f>J367</f>
        <v>6020000</v>
      </c>
      <c r="K366" s="434">
        <f>K367</f>
        <v>2275681.66</v>
      </c>
      <c r="L366" s="517"/>
    </row>
    <row r="367" spans="1:12" ht="12.75">
      <c r="A367" s="86"/>
      <c r="B367" s="86"/>
      <c r="C367" s="83"/>
      <c r="D367" s="270"/>
      <c r="E367" s="87"/>
      <c r="F367" s="200" t="s">
        <v>1116</v>
      </c>
      <c r="G367" s="35">
        <v>472300</v>
      </c>
      <c r="H367" s="5" t="s">
        <v>933</v>
      </c>
      <c r="I367" s="435">
        <v>6000000</v>
      </c>
      <c r="J367" s="687">
        <v>6020000</v>
      </c>
      <c r="K367" s="435">
        <v>2275681.66</v>
      </c>
      <c r="L367" s="517"/>
    </row>
    <row r="368" spans="1:12" s="36" customFormat="1" ht="12.75">
      <c r="A368" s="474"/>
      <c r="B368" s="474"/>
      <c r="C368" s="477"/>
      <c r="D368" s="476"/>
      <c r="E368" s="477"/>
      <c r="F368" s="478"/>
      <c r="G368" s="483"/>
      <c r="H368" s="484" t="s">
        <v>2</v>
      </c>
      <c r="I368" s="481">
        <f>I366</f>
        <v>6000000</v>
      </c>
      <c r="J368" s="481">
        <f>J366</f>
        <v>6020000</v>
      </c>
      <c r="K368" s="603">
        <f>K366</f>
        <v>2275681.66</v>
      </c>
      <c r="L368" s="517"/>
    </row>
    <row r="369" spans="1:12" s="36" customFormat="1" ht="13.5" thickBot="1">
      <c r="A369" s="82"/>
      <c r="B369" s="82"/>
      <c r="C369" s="83"/>
      <c r="D369" s="270"/>
      <c r="E369" s="83"/>
      <c r="F369" s="200"/>
      <c r="G369" s="35"/>
      <c r="H369" s="7"/>
      <c r="I369" s="435"/>
      <c r="J369" s="435"/>
      <c r="K369" s="435"/>
      <c r="L369" s="517"/>
    </row>
    <row r="370" spans="1:12" s="22" customFormat="1" ht="14.25" thickBot="1" thickTop="1">
      <c r="A370" s="104"/>
      <c r="B370" s="104">
        <v>11</v>
      </c>
      <c r="C370" s="144" t="s">
        <v>180</v>
      </c>
      <c r="D370" s="267"/>
      <c r="E370" s="105"/>
      <c r="F370" s="198"/>
      <c r="G370" s="525"/>
      <c r="H370" s="119" t="s">
        <v>360</v>
      </c>
      <c r="I370" s="459"/>
      <c r="J370" s="459"/>
      <c r="K370" s="459"/>
      <c r="L370" s="517"/>
    </row>
    <row r="371" spans="1:12" s="22" customFormat="1" ht="12.75" customHeight="1" thickTop="1">
      <c r="A371" s="283"/>
      <c r="B371" s="283"/>
      <c r="C371" s="314"/>
      <c r="D371" s="285" t="s">
        <v>528</v>
      </c>
      <c r="E371" s="286"/>
      <c r="F371" s="301"/>
      <c r="G371" s="526"/>
      <c r="H371" s="288" t="s">
        <v>527</v>
      </c>
      <c r="I371" s="431"/>
      <c r="J371" s="431"/>
      <c r="K371" s="431"/>
      <c r="L371" s="517"/>
    </row>
    <row r="372" spans="1:12" s="22" customFormat="1" ht="17.25" customHeight="1">
      <c r="A372" s="88"/>
      <c r="B372" s="88"/>
      <c r="C372" s="83"/>
      <c r="D372" s="274" t="s">
        <v>497</v>
      </c>
      <c r="E372" s="89"/>
      <c r="F372" s="200"/>
      <c r="G372" s="527"/>
      <c r="H372" s="125" t="s">
        <v>771</v>
      </c>
      <c r="I372" s="432"/>
      <c r="J372" s="432"/>
      <c r="K372" s="432"/>
      <c r="L372" s="517"/>
    </row>
    <row r="373" spans="1:12" s="22" customFormat="1" ht="13.5">
      <c r="A373" s="88"/>
      <c r="B373" s="88"/>
      <c r="C373" s="83"/>
      <c r="D373" s="270"/>
      <c r="E373" s="89" t="s">
        <v>226</v>
      </c>
      <c r="F373" s="200"/>
      <c r="G373" s="539"/>
      <c r="H373" s="91" t="s">
        <v>835</v>
      </c>
      <c r="I373" s="460"/>
      <c r="J373" s="460"/>
      <c r="K373" s="460"/>
      <c r="L373" s="517"/>
    </row>
    <row r="374" spans="1:12" s="22" customFormat="1" ht="13.5">
      <c r="A374" s="88"/>
      <c r="B374" s="88"/>
      <c r="C374" s="83"/>
      <c r="D374" s="270"/>
      <c r="E374" s="89"/>
      <c r="F374" s="200" t="s">
        <v>1117</v>
      </c>
      <c r="G374" s="54">
        <v>472000</v>
      </c>
      <c r="H374" s="23" t="s">
        <v>932</v>
      </c>
      <c r="I374" s="434">
        <f>I375</f>
        <v>2000000</v>
      </c>
      <c r="J374" s="434">
        <f>J375</f>
        <v>2000000</v>
      </c>
      <c r="K374" s="434">
        <f>K375</f>
        <v>82100</v>
      </c>
      <c r="L374" s="517"/>
    </row>
    <row r="375" spans="1:12" ht="15" customHeight="1">
      <c r="A375" s="86"/>
      <c r="B375" s="86"/>
      <c r="C375" s="83"/>
      <c r="D375" s="270"/>
      <c r="E375" s="87"/>
      <c r="F375" s="200" t="s">
        <v>1118</v>
      </c>
      <c r="G375" s="35">
        <v>472300</v>
      </c>
      <c r="H375" s="5" t="s">
        <v>933</v>
      </c>
      <c r="I375" s="435">
        <v>2000000</v>
      </c>
      <c r="J375" s="435">
        <v>2000000</v>
      </c>
      <c r="K375" s="435">
        <v>82100</v>
      </c>
      <c r="L375" s="517"/>
    </row>
    <row r="376" spans="1:12" s="36" customFormat="1" ht="12.75">
      <c r="A376" s="474"/>
      <c r="B376" s="474"/>
      <c r="C376" s="477"/>
      <c r="D376" s="476"/>
      <c r="E376" s="477"/>
      <c r="F376" s="478"/>
      <c r="G376" s="483"/>
      <c r="H376" s="484" t="s">
        <v>4</v>
      </c>
      <c r="I376" s="481">
        <f>I374</f>
        <v>2000000</v>
      </c>
      <c r="J376" s="481">
        <f>J374</f>
        <v>2000000</v>
      </c>
      <c r="K376" s="603">
        <f>K374</f>
        <v>82100</v>
      </c>
      <c r="L376" s="517"/>
    </row>
    <row r="377" spans="1:12" s="36" customFormat="1" ht="13.5" thickBot="1">
      <c r="A377" s="294"/>
      <c r="B377" s="294"/>
      <c r="C377" s="297"/>
      <c r="D377" s="296"/>
      <c r="E377" s="297"/>
      <c r="F377" s="298"/>
      <c r="G377" s="299"/>
      <c r="H377" s="304"/>
      <c r="I377" s="440"/>
      <c r="J377" s="440"/>
      <c r="K377" s="440"/>
      <c r="L377" s="517"/>
    </row>
    <row r="378" spans="1:12" s="22" customFormat="1" ht="15" thickBot="1" thickTop="1">
      <c r="A378" s="104"/>
      <c r="B378" s="104">
        <v>12</v>
      </c>
      <c r="C378" s="144" t="s">
        <v>187</v>
      </c>
      <c r="D378" s="267"/>
      <c r="E378" s="105"/>
      <c r="F378" s="198"/>
      <c r="G378" s="525"/>
      <c r="H378" s="119" t="s">
        <v>592</v>
      </c>
      <c r="I378" s="459"/>
      <c r="J378" s="459"/>
      <c r="K378" s="459"/>
      <c r="L378" s="517"/>
    </row>
    <row r="379" spans="1:12" s="22" customFormat="1" ht="12.75" customHeight="1" thickTop="1">
      <c r="A379" s="283"/>
      <c r="B379" s="283"/>
      <c r="C379" s="314"/>
      <c r="D379" s="285" t="s">
        <v>562</v>
      </c>
      <c r="E379" s="286"/>
      <c r="F379" s="301"/>
      <c r="G379" s="526"/>
      <c r="H379" s="288" t="s">
        <v>561</v>
      </c>
      <c r="I379" s="431"/>
      <c r="J379" s="431"/>
      <c r="K379" s="431"/>
      <c r="L379" s="517"/>
    </row>
    <row r="380" spans="1:12" s="22" customFormat="1" ht="16.5" customHeight="1">
      <c r="A380" s="88"/>
      <c r="B380" s="88"/>
      <c r="C380" s="83"/>
      <c r="D380" s="274" t="s">
        <v>563</v>
      </c>
      <c r="E380" s="89"/>
      <c r="F380" s="200"/>
      <c r="G380" s="527"/>
      <c r="H380" s="125" t="s">
        <v>570</v>
      </c>
      <c r="I380" s="432"/>
      <c r="J380" s="432"/>
      <c r="K380" s="432"/>
      <c r="L380" s="517"/>
    </row>
    <row r="381" spans="1:12" s="22" customFormat="1" ht="28.5" customHeight="1">
      <c r="A381" s="88"/>
      <c r="B381" s="88"/>
      <c r="C381" s="83"/>
      <c r="D381" s="270"/>
      <c r="E381" s="89" t="s">
        <v>873</v>
      </c>
      <c r="F381" s="200"/>
      <c r="G381" s="539"/>
      <c r="H381" s="315" t="s">
        <v>249</v>
      </c>
      <c r="I381" s="460"/>
      <c r="J381" s="460"/>
      <c r="K381" s="460"/>
      <c r="L381" s="517"/>
    </row>
    <row r="382" spans="1:12" s="22" customFormat="1" ht="13.5">
      <c r="A382" s="88"/>
      <c r="B382" s="88"/>
      <c r="C382" s="83"/>
      <c r="D382" s="270"/>
      <c r="E382" s="89"/>
      <c r="F382" s="200" t="s">
        <v>1119</v>
      </c>
      <c r="G382" s="54">
        <v>463000</v>
      </c>
      <c r="H382" s="23" t="s">
        <v>856</v>
      </c>
      <c r="I382" s="434">
        <f>I383+I384</f>
        <v>7000000</v>
      </c>
      <c r="J382" s="434">
        <f>J383+J384</f>
        <v>7000000</v>
      </c>
      <c r="K382" s="434">
        <f>K383+K384</f>
        <v>1987698.96</v>
      </c>
      <c r="L382" s="517"/>
    </row>
    <row r="383" spans="1:12" ht="12.75">
      <c r="A383" s="86"/>
      <c r="B383" s="86"/>
      <c r="C383" s="83"/>
      <c r="D383" s="270"/>
      <c r="E383" s="87"/>
      <c r="F383" s="200" t="s">
        <v>1120</v>
      </c>
      <c r="G383" s="524">
        <v>463100</v>
      </c>
      <c r="H383" s="4" t="s">
        <v>919</v>
      </c>
      <c r="I383" s="435">
        <v>7000000</v>
      </c>
      <c r="J383" s="435">
        <v>7000000</v>
      </c>
      <c r="K383" s="435">
        <v>1987698.96</v>
      </c>
      <c r="L383" s="517"/>
    </row>
    <row r="384" spans="1:12" ht="12.75">
      <c r="A384" s="82"/>
      <c r="B384" s="82"/>
      <c r="C384" s="83"/>
      <c r="D384" s="270"/>
      <c r="E384" s="83"/>
      <c r="F384" s="200" t="s">
        <v>1121</v>
      </c>
      <c r="G384" s="524">
        <v>463200</v>
      </c>
      <c r="H384" s="4" t="s">
        <v>930</v>
      </c>
      <c r="I384" s="435"/>
      <c r="J384" s="435"/>
      <c r="K384" s="435"/>
      <c r="L384" s="517"/>
    </row>
    <row r="385" spans="1:12" s="36" customFormat="1" ht="12.75">
      <c r="A385" s="474"/>
      <c r="B385" s="474"/>
      <c r="C385" s="477"/>
      <c r="D385" s="476"/>
      <c r="E385" s="477"/>
      <c r="F385" s="478"/>
      <c r="G385" s="483"/>
      <c r="H385" s="484" t="s">
        <v>5</v>
      </c>
      <c r="I385" s="481">
        <f>I382</f>
        <v>7000000</v>
      </c>
      <c r="J385" s="481">
        <f>J382</f>
        <v>7000000</v>
      </c>
      <c r="K385" s="603">
        <f>K382</f>
        <v>1987698.96</v>
      </c>
      <c r="L385" s="517"/>
    </row>
    <row r="386" spans="1:12" s="36" customFormat="1" ht="13.5" thickBot="1">
      <c r="A386" s="294"/>
      <c r="B386" s="294"/>
      <c r="C386" s="297"/>
      <c r="D386" s="296"/>
      <c r="E386" s="297"/>
      <c r="F386" s="298"/>
      <c r="G386" s="299"/>
      <c r="H386" s="304"/>
      <c r="I386" s="440"/>
      <c r="J386" s="440"/>
      <c r="K386" s="440"/>
      <c r="L386" s="517"/>
    </row>
    <row r="387" spans="1:12" s="22" customFormat="1" ht="15.75" thickBot="1" thickTop="1">
      <c r="A387" s="104"/>
      <c r="B387" s="104">
        <v>13</v>
      </c>
      <c r="C387" s="144" t="s">
        <v>185</v>
      </c>
      <c r="D387" s="267"/>
      <c r="E387" s="105"/>
      <c r="F387" s="198"/>
      <c r="G387" s="525"/>
      <c r="H387" s="106" t="s">
        <v>935</v>
      </c>
      <c r="I387" s="457"/>
      <c r="J387" s="457"/>
      <c r="K387" s="457"/>
      <c r="L387" s="517"/>
    </row>
    <row r="388" spans="1:12" s="22" customFormat="1" ht="12.75" customHeight="1" thickTop="1">
      <c r="A388" s="283"/>
      <c r="B388" s="283"/>
      <c r="C388" s="314"/>
      <c r="D388" s="285" t="s">
        <v>572</v>
      </c>
      <c r="E388" s="286"/>
      <c r="F388" s="301"/>
      <c r="G388" s="526"/>
      <c r="H388" s="288" t="s">
        <v>571</v>
      </c>
      <c r="I388" s="431"/>
      <c r="J388" s="431"/>
      <c r="K388" s="431"/>
      <c r="L388" s="517"/>
    </row>
    <row r="389" spans="1:12" s="22" customFormat="1" ht="24" customHeight="1">
      <c r="A389" s="88"/>
      <c r="B389" s="88"/>
      <c r="C389" s="83"/>
      <c r="D389" s="274" t="s">
        <v>573</v>
      </c>
      <c r="E389" s="89"/>
      <c r="F389" s="200"/>
      <c r="G389" s="527"/>
      <c r="H389" s="125" t="s">
        <v>574</v>
      </c>
      <c r="I389" s="432"/>
      <c r="J389" s="432"/>
      <c r="K389" s="432"/>
      <c r="L389" s="517"/>
    </row>
    <row r="390" spans="1:12" s="22" customFormat="1" ht="13.5">
      <c r="A390" s="88"/>
      <c r="B390" s="88"/>
      <c r="C390" s="83"/>
      <c r="D390" s="270"/>
      <c r="E390" s="89">
        <v>810</v>
      </c>
      <c r="F390" s="200"/>
      <c r="G390" s="534"/>
      <c r="H390" s="91" t="s">
        <v>830</v>
      </c>
      <c r="I390" s="449"/>
      <c r="J390" s="449"/>
      <c r="K390" s="449"/>
      <c r="L390" s="517"/>
    </row>
    <row r="391" spans="1:12" s="22" customFormat="1" ht="13.5">
      <c r="A391" s="88"/>
      <c r="B391" s="88"/>
      <c r="C391" s="83"/>
      <c r="D391" s="270"/>
      <c r="E391" s="89"/>
      <c r="F391" s="200" t="s">
        <v>1122</v>
      </c>
      <c r="G391" s="54">
        <v>422000</v>
      </c>
      <c r="H391" s="23" t="s">
        <v>793</v>
      </c>
      <c r="I391" s="434">
        <f>I392</f>
        <v>2300000</v>
      </c>
      <c r="J391" s="434">
        <f>J392</f>
        <v>2300000</v>
      </c>
      <c r="K391" s="434">
        <f>K392</f>
        <v>1179139</v>
      </c>
      <c r="L391" s="517"/>
    </row>
    <row r="392" spans="1:12" ht="12.75">
      <c r="A392" s="86"/>
      <c r="B392" s="86"/>
      <c r="C392" s="83"/>
      <c r="D392" s="270"/>
      <c r="E392" s="87"/>
      <c r="F392" s="200" t="s">
        <v>1123</v>
      </c>
      <c r="G392" s="35">
        <v>422900</v>
      </c>
      <c r="H392" s="5" t="s">
        <v>230</v>
      </c>
      <c r="I392" s="435">
        <v>2300000</v>
      </c>
      <c r="J392" s="435">
        <v>2300000</v>
      </c>
      <c r="K392" s="435">
        <v>1179139</v>
      </c>
      <c r="L392" s="517"/>
    </row>
    <row r="393" spans="1:12" s="22" customFormat="1" ht="13.5">
      <c r="A393" s="88"/>
      <c r="B393" s="88"/>
      <c r="C393" s="83"/>
      <c r="D393" s="270"/>
      <c r="E393" s="89"/>
      <c r="F393" s="200" t="s">
        <v>1124</v>
      </c>
      <c r="G393" s="535">
        <v>424000</v>
      </c>
      <c r="H393" s="242" t="s">
        <v>800</v>
      </c>
      <c r="I393" s="434">
        <f>I394</f>
        <v>8500000</v>
      </c>
      <c r="J393" s="434">
        <f>J394</f>
        <v>8500000</v>
      </c>
      <c r="K393" s="434">
        <f>K394</f>
        <v>2384792.65</v>
      </c>
      <c r="L393" s="517"/>
    </row>
    <row r="394" spans="1:12" ht="12.75">
      <c r="A394" s="86"/>
      <c r="B394" s="86"/>
      <c r="C394" s="83"/>
      <c r="D394" s="270"/>
      <c r="E394" s="87"/>
      <c r="F394" s="200" t="s">
        <v>1125</v>
      </c>
      <c r="G394" s="536">
        <v>424200</v>
      </c>
      <c r="H394" s="243" t="s">
        <v>907</v>
      </c>
      <c r="I394" s="435">
        <v>8500000</v>
      </c>
      <c r="J394" s="435">
        <v>8500000</v>
      </c>
      <c r="K394" s="435">
        <v>2384792.65</v>
      </c>
      <c r="L394" s="517"/>
    </row>
    <row r="395" spans="1:12" ht="13.5">
      <c r="A395" s="86"/>
      <c r="B395" s="86"/>
      <c r="C395" s="83"/>
      <c r="D395" s="270"/>
      <c r="E395" s="87"/>
      <c r="F395" s="200"/>
      <c r="G395" s="583" t="s">
        <v>521</v>
      </c>
      <c r="H395" s="584" t="s">
        <v>24</v>
      </c>
      <c r="I395" s="434">
        <f>I396</f>
        <v>4000000</v>
      </c>
      <c r="J395" s="434">
        <f>J396</f>
        <v>4000000</v>
      </c>
      <c r="K395" s="434">
        <f>K396</f>
        <v>3693000</v>
      </c>
      <c r="L395" s="517"/>
    </row>
    <row r="396" spans="1:12" ht="12.75">
      <c r="A396" s="86"/>
      <c r="B396" s="86"/>
      <c r="C396" s="83"/>
      <c r="D396" s="270"/>
      <c r="E396" s="87"/>
      <c r="F396" s="200"/>
      <c r="G396" s="536" t="s">
        <v>23</v>
      </c>
      <c r="H396" s="243" t="s">
        <v>25</v>
      </c>
      <c r="I396" s="435">
        <v>4000000</v>
      </c>
      <c r="J396" s="435">
        <v>4000000</v>
      </c>
      <c r="K396" s="435">
        <v>3693000</v>
      </c>
      <c r="L396" s="517"/>
    </row>
    <row r="397" spans="1:12" ht="13.5">
      <c r="A397" s="86"/>
      <c r="B397" s="86"/>
      <c r="C397" s="83"/>
      <c r="D397" s="270"/>
      <c r="E397" s="87"/>
      <c r="F397" s="200"/>
      <c r="G397" s="535" t="s">
        <v>607</v>
      </c>
      <c r="H397" s="242" t="s">
        <v>797</v>
      </c>
      <c r="I397" s="659">
        <f>I398+I399</f>
        <v>2000000</v>
      </c>
      <c r="J397" s="659">
        <f>J398+J399</f>
        <v>2000000</v>
      </c>
      <c r="K397" s="659">
        <f>K398+K399</f>
        <v>1094550.96</v>
      </c>
      <c r="L397" s="517"/>
    </row>
    <row r="398" spans="1:12" ht="12.75">
      <c r="A398" s="86"/>
      <c r="B398" s="86"/>
      <c r="C398" s="83"/>
      <c r="D398" s="270"/>
      <c r="E398" s="87"/>
      <c r="F398" s="200"/>
      <c r="G398" s="536" t="s">
        <v>608</v>
      </c>
      <c r="H398" s="243" t="s">
        <v>753</v>
      </c>
      <c r="I398" s="655">
        <v>1000000</v>
      </c>
      <c r="J398" s="655">
        <v>1000000</v>
      </c>
      <c r="K398" s="655">
        <v>100207</v>
      </c>
      <c r="L398" s="517"/>
    </row>
    <row r="399" spans="1:12" ht="12.75">
      <c r="A399" s="86"/>
      <c r="B399" s="86"/>
      <c r="C399" s="83"/>
      <c r="D399" s="270"/>
      <c r="E399" s="87"/>
      <c r="F399" s="200"/>
      <c r="G399" s="536" t="s">
        <v>617</v>
      </c>
      <c r="H399" s="243" t="s">
        <v>910</v>
      </c>
      <c r="I399" s="655">
        <v>1000000</v>
      </c>
      <c r="J399" s="655">
        <v>1000000</v>
      </c>
      <c r="K399" s="655">
        <v>994343.96</v>
      </c>
      <c r="L399" s="517"/>
    </row>
    <row r="400" spans="1:12" s="22" customFormat="1" ht="13.5">
      <c r="A400" s="88"/>
      <c r="B400" s="88"/>
      <c r="C400" s="83"/>
      <c r="D400" s="270"/>
      <c r="E400" s="89"/>
      <c r="F400" s="200" t="s">
        <v>1126</v>
      </c>
      <c r="G400" s="54">
        <v>481000</v>
      </c>
      <c r="H400" s="23" t="s">
        <v>224</v>
      </c>
      <c r="I400" s="434">
        <f>I401</f>
        <v>10450000</v>
      </c>
      <c r="J400" s="434">
        <f>J401</f>
        <v>12622804.42</v>
      </c>
      <c r="K400" s="434">
        <f>K401</f>
        <v>7399817.35</v>
      </c>
      <c r="L400" s="517"/>
    </row>
    <row r="401" spans="1:12" ht="12.75">
      <c r="A401" s="86"/>
      <c r="B401" s="86"/>
      <c r="C401" s="83"/>
      <c r="D401" s="270"/>
      <c r="E401" s="87"/>
      <c r="F401" s="200" t="s">
        <v>1127</v>
      </c>
      <c r="G401" s="35">
        <v>481900</v>
      </c>
      <c r="H401" s="52" t="s">
        <v>225</v>
      </c>
      <c r="I401" s="435">
        <v>10450000</v>
      </c>
      <c r="J401" s="687">
        <v>12622804.42</v>
      </c>
      <c r="K401" s="435">
        <v>7399817.35</v>
      </c>
      <c r="L401" s="517"/>
    </row>
    <row r="402" spans="1:12" s="36" customFormat="1" ht="12.75">
      <c r="A402" s="474"/>
      <c r="B402" s="474"/>
      <c r="C402" s="477"/>
      <c r="D402" s="476"/>
      <c r="E402" s="477"/>
      <c r="F402" s="478"/>
      <c r="G402" s="483"/>
      <c r="H402" s="484" t="s">
        <v>9</v>
      </c>
      <c r="I402" s="481">
        <f>I391+I393+I395+I397+I400</f>
        <v>27250000</v>
      </c>
      <c r="J402" s="481">
        <f>J391+J393+J400+J397+J395</f>
        <v>29422804.42</v>
      </c>
      <c r="K402" s="603">
        <f>K391+K393+K395+K397+K400</f>
        <v>15751299.96</v>
      </c>
      <c r="L402" s="517"/>
    </row>
    <row r="403" spans="1:12" ht="13.5" thickBot="1">
      <c r="A403" s="307"/>
      <c r="B403" s="307"/>
      <c r="C403" s="297"/>
      <c r="D403" s="296"/>
      <c r="E403" s="308"/>
      <c r="F403" s="298"/>
      <c r="G403" s="299"/>
      <c r="H403" s="316"/>
      <c r="I403" s="440"/>
      <c r="J403" s="440"/>
      <c r="K403" s="440"/>
      <c r="L403" s="517"/>
    </row>
    <row r="404" spans="1:12" s="22" customFormat="1" ht="16.5" thickBot="1" thickTop="1">
      <c r="A404" s="114"/>
      <c r="B404" s="114">
        <v>14</v>
      </c>
      <c r="C404" s="202" t="s">
        <v>185</v>
      </c>
      <c r="D404" s="272"/>
      <c r="E404" s="115"/>
      <c r="F404" s="202"/>
      <c r="G404" s="533"/>
      <c r="H404" s="106" t="s">
        <v>937</v>
      </c>
      <c r="I404" s="456"/>
      <c r="J404" s="456"/>
      <c r="K404" s="456"/>
      <c r="L404" s="517"/>
    </row>
    <row r="405" spans="1:12" s="22" customFormat="1" ht="29.25" customHeight="1" thickTop="1">
      <c r="A405" s="283"/>
      <c r="B405" s="283"/>
      <c r="C405" s="284"/>
      <c r="D405" s="285" t="s">
        <v>572</v>
      </c>
      <c r="E405" s="286"/>
      <c r="F405" s="301"/>
      <c r="G405" s="526"/>
      <c r="H405" s="288" t="s">
        <v>571</v>
      </c>
      <c r="I405" s="431"/>
      <c r="J405" s="431"/>
      <c r="K405" s="431"/>
      <c r="L405" s="517"/>
    </row>
    <row r="406" spans="1:12" s="22" customFormat="1" ht="24" customHeight="1">
      <c r="A406" s="88"/>
      <c r="B406" s="88"/>
      <c r="C406" s="214"/>
      <c r="D406" s="274" t="s">
        <v>763</v>
      </c>
      <c r="E406" s="89"/>
      <c r="F406" s="200"/>
      <c r="G406" s="527"/>
      <c r="H406" s="125" t="s">
        <v>764</v>
      </c>
      <c r="I406" s="432"/>
      <c r="J406" s="432"/>
      <c r="K406" s="432"/>
      <c r="L406" s="517"/>
    </row>
    <row r="407" spans="1:12" s="22" customFormat="1" ht="13.5">
      <c r="A407" s="88"/>
      <c r="B407" s="88"/>
      <c r="C407" s="214"/>
      <c r="D407" s="270"/>
      <c r="E407" s="89">
        <v>810</v>
      </c>
      <c r="F407" s="200"/>
      <c r="G407" s="534"/>
      <c r="H407" s="91" t="s">
        <v>830</v>
      </c>
      <c r="I407" s="449"/>
      <c r="J407" s="449"/>
      <c r="K407" s="449"/>
      <c r="L407" s="517"/>
    </row>
    <row r="408" spans="1:12" s="22" customFormat="1" ht="13.5">
      <c r="A408" s="88"/>
      <c r="B408" s="88"/>
      <c r="C408" s="214"/>
      <c r="D408" s="270"/>
      <c r="E408" s="89"/>
      <c r="F408" s="200" t="s">
        <v>1128</v>
      </c>
      <c r="G408" s="54">
        <v>411000</v>
      </c>
      <c r="H408" s="20" t="s">
        <v>866</v>
      </c>
      <c r="I408" s="434">
        <f>I409</f>
        <v>43556000</v>
      </c>
      <c r="J408" s="434">
        <f>J409</f>
        <v>43556000</v>
      </c>
      <c r="K408" s="434">
        <f>K409</f>
        <v>22497679.31</v>
      </c>
      <c r="L408" s="517"/>
    </row>
    <row r="409" spans="1:13" ht="12.75">
      <c r="A409" s="86"/>
      <c r="B409" s="86"/>
      <c r="C409" s="214"/>
      <c r="D409" s="270"/>
      <c r="E409" s="87"/>
      <c r="F409" s="200" t="s">
        <v>1129</v>
      </c>
      <c r="G409" s="35">
        <v>411100</v>
      </c>
      <c r="H409" s="4" t="s">
        <v>878</v>
      </c>
      <c r="I409" s="435">
        <v>43556000</v>
      </c>
      <c r="J409" s="435">
        <v>43556000</v>
      </c>
      <c r="K409" s="435">
        <v>22497679.31</v>
      </c>
      <c r="L409" s="517"/>
      <c r="M409" s="17"/>
    </row>
    <row r="410" spans="1:13" s="22" customFormat="1" ht="13.5">
      <c r="A410" s="88"/>
      <c r="B410" s="88"/>
      <c r="C410" s="214"/>
      <c r="D410" s="270"/>
      <c r="E410" s="89"/>
      <c r="F410" s="200" t="s">
        <v>1130</v>
      </c>
      <c r="G410" s="54">
        <v>412000</v>
      </c>
      <c r="H410" s="20" t="s">
        <v>801</v>
      </c>
      <c r="I410" s="434">
        <f>I411+I412+I413</f>
        <v>7799000</v>
      </c>
      <c r="J410" s="434">
        <f>J411+J412+J413</f>
        <v>7799000</v>
      </c>
      <c r="K410" s="434">
        <f>K411+K412+K413</f>
        <v>4027084.3499999996</v>
      </c>
      <c r="L410" s="517"/>
      <c r="M410" s="21"/>
    </row>
    <row r="411" spans="1:13" ht="12.75">
      <c r="A411" s="86"/>
      <c r="B411" s="86"/>
      <c r="C411" s="214"/>
      <c r="D411" s="270"/>
      <c r="E411" s="87"/>
      <c r="F411" s="200" t="s">
        <v>1131</v>
      </c>
      <c r="G411" s="35">
        <v>412100</v>
      </c>
      <c r="H411" s="4" t="s">
        <v>879</v>
      </c>
      <c r="I411" s="435">
        <v>5227000</v>
      </c>
      <c r="J411" s="435">
        <v>5227000</v>
      </c>
      <c r="K411" s="435">
        <v>2699721.4</v>
      </c>
      <c r="L411" s="517"/>
      <c r="M411" s="17"/>
    </row>
    <row r="412" spans="1:13" ht="12.75">
      <c r="A412" s="82"/>
      <c r="B412" s="82"/>
      <c r="C412" s="214"/>
      <c r="D412" s="270"/>
      <c r="E412" s="83"/>
      <c r="F412" s="200" t="s">
        <v>1132</v>
      </c>
      <c r="G412" s="35">
        <v>412200</v>
      </c>
      <c r="H412" s="4" t="s">
        <v>880</v>
      </c>
      <c r="I412" s="435">
        <v>2245000</v>
      </c>
      <c r="J412" s="435">
        <v>2245000</v>
      </c>
      <c r="K412" s="435">
        <v>1158630.45</v>
      </c>
      <c r="L412" s="517"/>
      <c r="M412" s="17"/>
    </row>
    <row r="413" spans="1:13" ht="12.75">
      <c r="A413" s="82"/>
      <c r="B413" s="82"/>
      <c r="C413" s="214"/>
      <c r="D413" s="270"/>
      <c r="E413" s="83"/>
      <c r="F413" s="200" t="s">
        <v>1133</v>
      </c>
      <c r="G413" s="35">
        <v>412300</v>
      </c>
      <c r="H413" s="4" t="s">
        <v>881</v>
      </c>
      <c r="I413" s="435">
        <v>327000</v>
      </c>
      <c r="J413" s="435">
        <v>327000</v>
      </c>
      <c r="K413" s="435">
        <v>168732.5</v>
      </c>
      <c r="L413" s="517"/>
      <c r="M413" s="17"/>
    </row>
    <row r="414" spans="1:13" s="22" customFormat="1" ht="13.5">
      <c r="A414" s="88"/>
      <c r="B414" s="88"/>
      <c r="C414" s="214"/>
      <c r="D414" s="270"/>
      <c r="E414" s="89"/>
      <c r="F414" s="200" t="s">
        <v>1134</v>
      </c>
      <c r="G414" s="54">
        <v>414000</v>
      </c>
      <c r="H414" s="20" t="s">
        <v>792</v>
      </c>
      <c r="I414" s="434">
        <f>I415+I416</f>
        <v>1550000</v>
      </c>
      <c r="J414" s="434">
        <f>J415+J416</f>
        <v>1550000</v>
      </c>
      <c r="K414" s="434">
        <f>K415+K416</f>
        <v>0</v>
      </c>
      <c r="L414" s="517"/>
      <c r="M414" s="21"/>
    </row>
    <row r="415" spans="1:12" ht="12.75">
      <c r="A415" s="86"/>
      <c r="B415" s="86"/>
      <c r="C415" s="83"/>
      <c r="D415" s="82"/>
      <c r="E415" s="87"/>
      <c r="F415" s="200" t="s">
        <v>1135</v>
      </c>
      <c r="G415" s="35">
        <v>414300</v>
      </c>
      <c r="H415" s="4" t="s">
        <v>893</v>
      </c>
      <c r="I415" s="435">
        <v>1500000</v>
      </c>
      <c r="J415" s="435">
        <v>1500000</v>
      </c>
      <c r="K415" s="435">
        <v>0</v>
      </c>
      <c r="L415" s="517"/>
    </row>
    <row r="416" spans="1:12" ht="12.75">
      <c r="A416" s="82"/>
      <c r="B416" s="82"/>
      <c r="C416" s="83"/>
      <c r="D416" s="82"/>
      <c r="E416" s="83"/>
      <c r="F416" s="200" t="s">
        <v>1136</v>
      </c>
      <c r="G416" s="35">
        <v>414400</v>
      </c>
      <c r="H416" s="4" t="s">
        <v>938</v>
      </c>
      <c r="I416" s="435">
        <v>50000</v>
      </c>
      <c r="J416" s="435">
        <v>50000</v>
      </c>
      <c r="K416" s="435">
        <v>0</v>
      </c>
      <c r="L416" s="517"/>
    </row>
    <row r="417" spans="1:12" s="22" customFormat="1" ht="13.5">
      <c r="A417" s="88"/>
      <c r="B417" s="88"/>
      <c r="C417" s="83"/>
      <c r="D417" s="82"/>
      <c r="E417" s="89"/>
      <c r="F417" s="200" t="s">
        <v>1137</v>
      </c>
      <c r="G417" s="54">
        <v>415000</v>
      </c>
      <c r="H417" s="239" t="s">
        <v>852</v>
      </c>
      <c r="I417" s="434">
        <f>I418</f>
        <v>2000000</v>
      </c>
      <c r="J417" s="434">
        <f>J418</f>
        <v>2000000</v>
      </c>
      <c r="K417" s="434">
        <f>K418</f>
        <v>1142832</v>
      </c>
      <c r="L417" s="517"/>
    </row>
    <row r="418" spans="1:12" ht="12.75">
      <c r="A418" s="86"/>
      <c r="B418" s="86"/>
      <c r="C418" s="83"/>
      <c r="D418" s="82"/>
      <c r="E418" s="87"/>
      <c r="F418" s="200" t="s">
        <v>1138</v>
      </c>
      <c r="G418" s="35">
        <v>415100</v>
      </c>
      <c r="H418" s="52" t="s">
        <v>852</v>
      </c>
      <c r="I418" s="435">
        <v>2000000</v>
      </c>
      <c r="J418" s="435">
        <v>2000000</v>
      </c>
      <c r="K418" s="435">
        <v>1142832</v>
      </c>
      <c r="L418" s="517"/>
    </row>
    <row r="419" spans="1:12" ht="13.5">
      <c r="A419" s="86"/>
      <c r="B419" s="86"/>
      <c r="C419" s="83"/>
      <c r="D419" s="82"/>
      <c r="E419" s="87"/>
      <c r="F419" s="200"/>
      <c r="G419" s="54" t="s">
        <v>455</v>
      </c>
      <c r="H419" s="239" t="s">
        <v>208</v>
      </c>
      <c r="I419" s="434">
        <f>I420</f>
        <v>1600000</v>
      </c>
      <c r="J419" s="434">
        <f>J420</f>
        <v>1600000</v>
      </c>
      <c r="K419" s="434">
        <f>K420</f>
        <v>48929.89</v>
      </c>
      <c r="L419" s="517"/>
    </row>
    <row r="420" spans="1:12" ht="12.75">
      <c r="A420" s="86"/>
      <c r="B420" s="86"/>
      <c r="C420" s="83"/>
      <c r="D420" s="82"/>
      <c r="E420" s="87"/>
      <c r="F420" s="200"/>
      <c r="G420" s="35" t="s">
        <v>456</v>
      </c>
      <c r="H420" s="52" t="s">
        <v>208</v>
      </c>
      <c r="I420" s="435">
        <v>1600000</v>
      </c>
      <c r="J420" s="435">
        <v>1600000</v>
      </c>
      <c r="K420" s="435">
        <v>48929.89</v>
      </c>
      <c r="L420" s="517"/>
    </row>
    <row r="421" spans="1:12" s="22" customFormat="1" ht="13.5">
      <c r="A421" s="88"/>
      <c r="B421" s="88"/>
      <c r="C421" s="83"/>
      <c r="D421" s="82"/>
      <c r="E421" s="89"/>
      <c r="F421" s="200" t="s">
        <v>1139</v>
      </c>
      <c r="G421" s="54">
        <v>421000</v>
      </c>
      <c r="H421" s="20" t="s">
        <v>799</v>
      </c>
      <c r="I421" s="434">
        <f>I422+I423+I424+I425</f>
        <v>2425000</v>
      </c>
      <c r="J421" s="434">
        <f>J422+J423+J424+J425</f>
        <v>2425000</v>
      </c>
      <c r="K421" s="434">
        <f>K422+K423+K424+K425</f>
        <v>1038103.24</v>
      </c>
      <c r="L421" s="598"/>
    </row>
    <row r="422" spans="1:12" ht="12.75">
      <c r="A422" s="86"/>
      <c r="B422" s="86"/>
      <c r="C422" s="83"/>
      <c r="D422" s="82"/>
      <c r="E422" s="87"/>
      <c r="F422" s="200" t="s">
        <v>1140</v>
      </c>
      <c r="G422" s="35">
        <v>421100</v>
      </c>
      <c r="H422" s="4" t="s">
        <v>894</v>
      </c>
      <c r="I422" s="435">
        <v>100000</v>
      </c>
      <c r="J422" s="435">
        <v>100000</v>
      </c>
      <c r="K422" s="435">
        <v>56370.79</v>
      </c>
      <c r="L422" s="517"/>
    </row>
    <row r="423" spans="1:12" ht="12.75">
      <c r="A423" s="82"/>
      <c r="B423" s="82"/>
      <c r="C423" s="83"/>
      <c r="D423" s="82"/>
      <c r="E423" s="83"/>
      <c r="F423" s="200" t="s">
        <v>1141</v>
      </c>
      <c r="G423" s="35">
        <v>421400</v>
      </c>
      <c r="H423" s="4" t="s">
        <v>883</v>
      </c>
      <c r="I423" s="435">
        <v>65000</v>
      </c>
      <c r="J423" s="435">
        <v>65000</v>
      </c>
      <c r="K423" s="435">
        <v>13461.48</v>
      </c>
      <c r="L423" s="517"/>
    </row>
    <row r="424" spans="1:12" ht="12.75">
      <c r="A424" s="82"/>
      <c r="B424" s="82"/>
      <c r="C424" s="83"/>
      <c r="D424" s="82"/>
      <c r="E424" s="83"/>
      <c r="F424" s="200" t="s">
        <v>1142</v>
      </c>
      <c r="G424" s="35">
        <v>421500</v>
      </c>
      <c r="H424" s="4" t="s">
        <v>897</v>
      </c>
      <c r="I424" s="435">
        <v>260000</v>
      </c>
      <c r="J424" s="435">
        <v>260000</v>
      </c>
      <c r="K424" s="435">
        <v>10746</v>
      </c>
      <c r="L424" s="517"/>
    </row>
    <row r="425" spans="1:14" ht="12.75">
      <c r="A425" s="82"/>
      <c r="B425" s="82"/>
      <c r="C425" s="83"/>
      <c r="D425" s="82"/>
      <c r="E425" s="83"/>
      <c r="F425" s="200" t="s">
        <v>1143</v>
      </c>
      <c r="G425" s="35">
        <v>421600</v>
      </c>
      <c r="H425" s="4" t="s">
        <v>898</v>
      </c>
      <c r="I425" s="435">
        <v>2000000</v>
      </c>
      <c r="J425" s="435">
        <v>2000000</v>
      </c>
      <c r="K425" s="435">
        <v>957524.97</v>
      </c>
      <c r="L425" s="517"/>
      <c r="M425" s="516"/>
      <c r="N425" s="514"/>
    </row>
    <row r="426" spans="1:12" s="22" customFormat="1" ht="13.5">
      <c r="A426" s="88"/>
      <c r="B426" s="88"/>
      <c r="C426" s="214"/>
      <c r="D426" s="270"/>
      <c r="E426" s="89"/>
      <c r="F426" s="200" t="s">
        <v>1144</v>
      </c>
      <c r="G426" s="54">
        <v>423000</v>
      </c>
      <c r="H426" s="20" t="s">
        <v>794</v>
      </c>
      <c r="I426" s="434">
        <f>I427+I429+I428+I430+I431</f>
        <v>180000</v>
      </c>
      <c r="J426" s="434">
        <f>J427+J428+J429+J430+J431</f>
        <v>180000</v>
      </c>
      <c r="K426" s="434">
        <f>K427+K428+K429+K430+K431</f>
        <v>65000</v>
      </c>
      <c r="L426" s="517"/>
    </row>
    <row r="427" spans="1:12" ht="12.75">
      <c r="A427" s="86"/>
      <c r="B427" s="86"/>
      <c r="C427" s="214"/>
      <c r="D427" s="270"/>
      <c r="E427" s="87"/>
      <c r="F427" s="200" t="s">
        <v>1145</v>
      </c>
      <c r="G427" s="524">
        <v>423100</v>
      </c>
      <c r="H427" s="4" t="s">
        <v>939</v>
      </c>
      <c r="I427" s="435">
        <v>10000</v>
      </c>
      <c r="J427" s="435">
        <v>10000</v>
      </c>
      <c r="K427" s="435">
        <v>0</v>
      </c>
      <c r="L427" s="517"/>
    </row>
    <row r="428" spans="1:12" ht="12.75">
      <c r="A428" s="82"/>
      <c r="B428" s="82"/>
      <c r="C428" s="214"/>
      <c r="D428" s="270"/>
      <c r="E428" s="83"/>
      <c r="F428" s="200" t="s">
        <v>1146</v>
      </c>
      <c r="G428" s="524" t="s">
        <v>369</v>
      </c>
      <c r="H428" s="4" t="s">
        <v>901</v>
      </c>
      <c r="I428" s="435">
        <v>50000</v>
      </c>
      <c r="J428" s="435">
        <v>50000</v>
      </c>
      <c r="K428" s="435">
        <v>30000</v>
      </c>
      <c r="L428" s="517"/>
    </row>
    <row r="429" spans="1:12" ht="12.75">
      <c r="A429" s="82"/>
      <c r="B429" s="82"/>
      <c r="C429" s="214"/>
      <c r="D429" s="270"/>
      <c r="E429" s="83"/>
      <c r="F429" s="200" t="s">
        <v>1147</v>
      </c>
      <c r="G429" s="524">
        <v>423400</v>
      </c>
      <c r="H429" s="4" t="s">
        <v>884</v>
      </c>
      <c r="I429" s="435">
        <v>50000</v>
      </c>
      <c r="J429" s="435">
        <v>50000</v>
      </c>
      <c r="K429" s="435">
        <v>35000</v>
      </c>
      <c r="L429" s="517"/>
    </row>
    <row r="430" spans="1:12" ht="12.75">
      <c r="A430" s="82"/>
      <c r="B430" s="82"/>
      <c r="C430" s="214"/>
      <c r="D430" s="270"/>
      <c r="E430" s="83"/>
      <c r="F430" s="200" t="s">
        <v>1148</v>
      </c>
      <c r="G430" s="524" t="s">
        <v>370</v>
      </c>
      <c r="H430" s="4" t="s">
        <v>903</v>
      </c>
      <c r="I430" s="435">
        <v>50000</v>
      </c>
      <c r="J430" s="435">
        <v>50000</v>
      </c>
      <c r="K430" s="435">
        <v>0</v>
      </c>
      <c r="L430" s="517"/>
    </row>
    <row r="431" spans="1:12" ht="12.75">
      <c r="A431" s="82"/>
      <c r="B431" s="82"/>
      <c r="C431" s="214"/>
      <c r="D431" s="270"/>
      <c r="E431" s="83"/>
      <c r="F431" s="200" t="s">
        <v>1149</v>
      </c>
      <c r="G431" s="524">
        <v>423900</v>
      </c>
      <c r="H431" s="4" t="s">
        <v>906</v>
      </c>
      <c r="I431" s="435">
        <v>20000</v>
      </c>
      <c r="J431" s="435">
        <v>20000</v>
      </c>
      <c r="K431" s="435">
        <v>0</v>
      </c>
      <c r="L431" s="517"/>
    </row>
    <row r="432" spans="1:12" s="22" customFormat="1" ht="13.5">
      <c r="A432" s="88"/>
      <c r="B432" s="88"/>
      <c r="C432" s="214"/>
      <c r="D432" s="270"/>
      <c r="E432" s="89"/>
      <c r="F432" s="200" t="s">
        <v>1150</v>
      </c>
      <c r="G432" s="528">
        <v>424000</v>
      </c>
      <c r="H432" s="20" t="s">
        <v>800</v>
      </c>
      <c r="I432" s="434">
        <f>I433+I435+I434</f>
        <v>140000</v>
      </c>
      <c r="J432" s="434">
        <f>J433+J435+J434</f>
        <v>140000</v>
      </c>
      <c r="K432" s="434">
        <f>K433+K434+K435</f>
        <v>39833</v>
      </c>
      <c r="L432" s="517"/>
    </row>
    <row r="433" spans="1:12" ht="12.75">
      <c r="A433" s="86"/>
      <c r="B433" s="86"/>
      <c r="C433" s="214"/>
      <c r="D433" s="270"/>
      <c r="E433" s="87"/>
      <c r="F433" s="200" t="s">
        <v>1151</v>
      </c>
      <c r="G433" s="524">
        <v>424200</v>
      </c>
      <c r="H433" s="4" t="s">
        <v>907</v>
      </c>
      <c r="I433" s="435">
        <v>20000</v>
      </c>
      <c r="J433" s="435">
        <v>20000</v>
      </c>
      <c r="K433" s="435">
        <v>0</v>
      </c>
      <c r="L433" s="517"/>
    </row>
    <row r="434" spans="1:12" ht="12.75">
      <c r="A434" s="82"/>
      <c r="B434" s="82"/>
      <c r="C434" s="214"/>
      <c r="D434" s="270"/>
      <c r="E434" s="83"/>
      <c r="F434" s="200" t="s">
        <v>1152</v>
      </c>
      <c r="G434" s="524">
        <v>424300</v>
      </c>
      <c r="H434" s="4" t="s">
        <v>235</v>
      </c>
      <c r="I434" s="435">
        <v>20000</v>
      </c>
      <c r="J434" s="435">
        <v>20000</v>
      </c>
      <c r="K434" s="435">
        <v>19765</v>
      </c>
      <c r="L434" s="517"/>
    </row>
    <row r="435" spans="1:12" ht="12.75">
      <c r="A435" s="82"/>
      <c r="B435" s="82"/>
      <c r="C435" s="214"/>
      <c r="D435" s="270"/>
      <c r="E435" s="83"/>
      <c r="F435" s="200"/>
      <c r="G435" s="524" t="s">
        <v>612</v>
      </c>
      <c r="H435" s="4" t="s">
        <v>934</v>
      </c>
      <c r="I435" s="435">
        <v>100000</v>
      </c>
      <c r="J435" s="435">
        <v>100000</v>
      </c>
      <c r="K435" s="435">
        <v>20068</v>
      </c>
      <c r="L435" s="517"/>
    </row>
    <row r="436" spans="1:12" s="22" customFormat="1" ht="13.5">
      <c r="A436" s="88"/>
      <c r="B436" s="88"/>
      <c r="C436" s="214"/>
      <c r="D436" s="270"/>
      <c r="E436" s="89"/>
      <c r="F436" s="200" t="s">
        <v>1153</v>
      </c>
      <c r="G436" s="528">
        <v>425000</v>
      </c>
      <c r="H436" s="20" t="s">
        <v>797</v>
      </c>
      <c r="I436" s="434">
        <f>I437</f>
        <v>100000</v>
      </c>
      <c r="J436" s="434">
        <f>J437</f>
        <v>100000</v>
      </c>
      <c r="K436" s="434">
        <f>K437</f>
        <v>7550</v>
      </c>
      <c r="L436" s="517"/>
    </row>
    <row r="437" spans="1:12" ht="12.75">
      <c r="A437" s="82"/>
      <c r="B437" s="82"/>
      <c r="C437" s="214"/>
      <c r="D437" s="270"/>
      <c r="E437" s="83"/>
      <c r="F437" s="200" t="s">
        <v>1154</v>
      </c>
      <c r="G437" s="524">
        <v>425200</v>
      </c>
      <c r="H437" s="4" t="s">
        <v>910</v>
      </c>
      <c r="I437" s="435">
        <v>100000</v>
      </c>
      <c r="J437" s="435">
        <v>100000</v>
      </c>
      <c r="K437" s="435">
        <v>7550</v>
      </c>
      <c r="L437" s="517"/>
    </row>
    <row r="438" spans="1:12" s="22" customFormat="1" ht="13.5">
      <c r="A438" s="88"/>
      <c r="B438" s="88"/>
      <c r="C438" s="214"/>
      <c r="D438" s="270"/>
      <c r="E438" s="89"/>
      <c r="F438" s="200" t="s">
        <v>1155</v>
      </c>
      <c r="G438" s="528">
        <v>426000</v>
      </c>
      <c r="H438" s="20" t="s">
        <v>795</v>
      </c>
      <c r="I438" s="434">
        <f>I439+I440+I441+I442+I443</f>
        <v>190000</v>
      </c>
      <c r="J438" s="434">
        <f>J439+J440+J441+J442+J443</f>
        <v>295000</v>
      </c>
      <c r="K438" s="434">
        <f>K439+K440+K441+K442+K443</f>
        <v>189095.13</v>
      </c>
      <c r="L438" s="517"/>
    </row>
    <row r="439" spans="1:12" ht="12.75">
      <c r="A439" s="86"/>
      <c r="B439" s="86"/>
      <c r="C439" s="214"/>
      <c r="D439" s="270"/>
      <c r="E439" s="87"/>
      <c r="F439" s="200" t="s">
        <v>1156</v>
      </c>
      <c r="G439" s="524">
        <v>426100</v>
      </c>
      <c r="H439" s="4" t="s">
        <v>911</v>
      </c>
      <c r="I439" s="435">
        <v>50000</v>
      </c>
      <c r="J439" s="435">
        <v>50000</v>
      </c>
      <c r="K439" s="435">
        <v>46422.04</v>
      </c>
      <c r="L439" s="517"/>
    </row>
    <row r="440" spans="1:12" ht="12.75">
      <c r="A440" s="82"/>
      <c r="B440" s="82"/>
      <c r="C440" s="214"/>
      <c r="D440" s="270"/>
      <c r="E440" s="83"/>
      <c r="F440" s="200" t="s">
        <v>1157</v>
      </c>
      <c r="G440" s="524">
        <v>426300</v>
      </c>
      <c r="H440" s="5" t="s">
        <v>922</v>
      </c>
      <c r="I440" s="435">
        <v>20000</v>
      </c>
      <c r="J440" s="435">
        <v>20000</v>
      </c>
      <c r="K440" s="435">
        <v>20000</v>
      </c>
      <c r="L440" s="517"/>
    </row>
    <row r="441" spans="1:12" ht="12.75">
      <c r="A441" s="82"/>
      <c r="B441" s="82"/>
      <c r="C441" s="214"/>
      <c r="D441" s="270"/>
      <c r="E441" s="83"/>
      <c r="F441" s="200" t="s">
        <v>1158</v>
      </c>
      <c r="G441" s="524">
        <v>426400</v>
      </c>
      <c r="H441" s="5" t="s">
        <v>912</v>
      </c>
      <c r="I441" s="435">
        <v>50000</v>
      </c>
      <c r="J441" s="435">
        <v>50000</v>
      </c>
      <c r="K441" s="435">
        <v>0</v>
      </c>
      <c r="L441" s="517"/>
    </row>
    <row r="442" spans="1:12" ht="12.75">
      <c r="A442" s="82"/>
      <c r="B442" s="82"/>
      <c r="C442" s="214"/>
      <c r="D442" s="270"/>
      <c r="E442" s="83"/>
      <c r="F442" s="200" t="s">
        <v>1159</v>
      </c>
      <c r="G442" s="524" t="s">
        <v>594</v>
      </c>
      <c r="H442" s="5" t="s">
        <v>595</v>
      </c>
      <c r="I442" s="435">
        <v>20000</v>
      </c>
      <c r="J442" s="688">
        <v>125000</v>
      </c>
      <c r="K442" s="435">
        <v>122673.09</v>
      </c>
      <c r="L442" s="517"/>
    </row>
    <row r="443" spans="1:12" ht="12.75">
      <c r="A443" s="82"/>
      <c r="B443" s="82"/>
      <c r="C443" s="214"/>
      <c r="D443" s="270"/>
      <c r="E443" s="83"/>
      <c r="F443" s="200" t="s">
        <v>1160</v>
      </c>
      <c r="G443" s="524">
        <v>426800</v>
      </c>
      <c r="H443" s="5" t="s">
        <v>913</v>
      </c>
      <c r="I443" s="435">
        <v>50000</v>
      </c>
      <c r="J443" s="435">
        <v>50000</v>
      </c>
      <c r="K443" s="435">
        <v>0</v>
      </c>
      <c r="L443" s="517"/>
    </row>
    <row r="444" spans="1:12" s="22" customFormat="1" ht="13.5">
      <c r="A444" s="88"/>
      <c r="B444" s="88"/>
      <c r="C444" s="214"/>
      <c r="D444" s="270"/>
      <c r="E444" s="89"/>
      <c r="F444" s="200" t="s">
        <v>1161</v>
      </c>
      <c r="G444" s="528" t="s">
        <v>381</v>
      </c>
      <c r="H444" s="23" t="s">
        <v>384</v>
      </c>
      <c r="I444" s="434">
        <f>I445</f>
        <v>3300000</v>
      </c>
      <c r="J444" s="434">
        <f>J445</f>
        <v>3300000</v>
      </c>
      <c r="K444" s="434">
        <f>K445</f>
        <v>1852918.94</v>
      </c>
      <c r="L444" s="517"/>
    </row>
    <row r="445" spans="1:12" ht="12.75">
      <c r="A445" s="82"/>
      <c r="B445" s="82"/>
      <c r="C445" s="214"/>
      <c r="D445" s="270"/>
      <c r="E445" s="83"/>
      <c r="F445" s="200" t="s">
        <v>1162</v>
      </c>
      <c r="G445" s="524" t="s">
        <v>382</v>
      </c>
      <c r="H445" s="5" t="s">
        <v>383</v>
      </c>
      <c r="I445" s="435">
        <v>3300000</v>
      </c>
      <c r="J445" s="435">
        <v>3300000</v>
      </c>
      <c r="K445" s="435">
        <v>1852918.94</v>
      </c>
      <c r="L445" s="517"/>
    </row>
    <row r="446" spans="1:12" s="22" customFormat="1" ht="13.5">
      <c r="A446" s="88"/>
      <c r="B446" s="88"/>
      <c r="C446" s="214"/>
      <c r="D446" s="270"/>
      <c r="E446" s="89"/>
      <c r="F446" s="200" t="s">
        <v>1163</v>
      </c>
      <c r="G446" s="528" t="s">
        <v>353</v>
      </c>
      <c r="H446" s="23" t="s">
        <v>859</v>
      </c>
      <c r="I446" s="434">
        <f>I447+I448</f>
        <v>250000</v>
      </c>
      <c r="J446" s="434">
        <f>J447+J448</f>
        <v>250000</v>
      </c>
      <c r="K446" s="434">
        <f>K448+K447</f>
        <v>8612</v>
      </c>
      <c r="L446" s="517"/>
    </row>
    <row r="447" spans="1:12" ht="12.75">
      <c r="A447" s="82"/>
      <c r="B447" s="82"/>
      <c r="C447" s="214"/>
      <c r="D447" s="270"/>
      <c r="E447" s="83"/>
      <c r="F447" s="200" t="s">
        <v>1164</v>
      </c>
      <c r="G447" s="524" t="s">
        <v>371</v>
      </c>
      <c r="H447" s="5" t="s">
        <v>334</v>
      </c>
      <c r="I447" s="435">
        <v>50000</v>
      </c>
      <c r="J447" s="435">
        <v>50000</v>
      </c>
      <c r="K447" s="435">
        <v>0</v>
      </c>
      <c r="L447" s="517"/>
    </row>
    <row r="448" spans="1:12" ht="12.75">
      <c r="A448" s="82"/>
      <c r="B448" s="82"/>
      <c r="C448" s="214"/>
      <c r="D448" s="270"/>
      <c r="E448" s="83"/>
      <c r="F448" s="200" t="s">
        <v>1165</v>
      </c>
      <c r="G448" s="524" t="s">
        <v>372</v>
      </c>
      <c r="H448" s="5" t="s">
        <v>914</v>
      </c>
      <c r="I448" s="435">
        <v>200000</v>
      </c>
      <c r="J448" s="435">
        <v>200000</v>
      </c>
      <c r="K448" s="435">
        <v>8612</v>
      </c>
      <c r="L448" s="517"/>
    </row>
    <row r="449" spans="1:12" s="22" customFormat="1" ht="13.5">
      <c r="A449" s="88"/>
      <c r="B449" s="88"/>
      <c r="C449" s="214"/>
      <c r="D449" s="270"/>
      <c r="E449" s="89"/>
      <c r="F449" s="200" t="s">
        <v>1166</v>
      </c>
      <c r="G449" s="54">
        <v>483000</v>
      </c>
      <c r="H449" s="23" t="s">
        <v>860</v>
      </c>
      <c r="I449" s="434">
        <f>I450</f>
        <v>5000000</v>
      </c>
      <c r="J449" s="434">
        <f>J450</f>
        <v>4895000</v>
      </c>
      <c r="K449" s="434">
        <f>K450</f>
        <v>2254899.11</v>
      </c>
      <c r="L449" s="517"/>
    </row>
    <row r="450" spans="1:12" ht="12.75">
      <c r="A450" s="86"/>
      <c r="B450" s="86"/>
      <c r="C450" s="214"/>
      <c r="D450" s="270"/>
      <c r="E450" s="87"/>
      <c r="F450" s="200" t="s">
        <v>1167</v>
      </c>
      <c r="G450" s="35">
        <v>483100</v>
      </c>
      <c r="H450" s="52" t="s">
        <v>860</v>
      </c>
      <c r="I450" s="435">
        <v>5000000</v>
      </c>
      <c r="J450" s="688">
        <v>4895000</v>
      </c>
      <c r="K450" s="435">
        <v>2254899.11</v>
      </c>
      <c r="L450" s="517"/>
    </row>
    <row r="451" spans="1:12" s="22" customFormat="1" ht="13.5">
      <c r="A451" s="88"/>
      <c r="B451" s="88"/>
      <c r="C451" s="214"/>
      <c r="D451" s="270"/>
      <c r="E451" s="89"/>
      <c r="F451" s="200" t="s">
        <v>1168</v>
      </c>
      <c r="G451" s="54">
        <v>512000</v>
      </c>
      <c r="H451" s="239" t="s">
        <v>796</v>
      </c>
      <c r="I451" s="434">
        <f>I452</f>
        <v>50000</v>
      </c>
      <c r="J451" s="434">
        <f>J452</f>
        <v>50000</v>
      </c>
      <c r="K451" s="434">
        <f>K452</f>
        <v>0</v>
      </c>
      <c r="L451" s="517"/>
    </row>
    <row r="452" spans="1:12" ht="12.75">
      <c r="A452" s="82"/>
      <c r="B452" s="82"/>
      <c r="C452" s="214"/>
      <c r="D452" s="270"/>
      <c r="E452" s="83"/>
      <c r="F452" s="200" t="s">
        <v>1169</v>
      </c>
      <c r="G452" s="35">
        <v>512200</v>
      </c>
      <c r="H452" s="52" t="s">
        <v>916</v>
      </c>
      <c r="I452" s="435">
        <v>50000</v>
      </c>
      <c r="J452" s="435">
        <v>50000</v>
      </c>
      <c r="K452" s="435">
        <v>0</v>
      </c>
      <c r="L452" s="517"/>
    </row>
    <row r="453" spans="1:13" s="36" customFormat="1" ht="12.75">
      <c r="A453" s="82"/>
      <c r="B453" s="82"/>
      <c r="C453" s="214"/>
      <c r="D453" s="270"/>
      <c r="E453" s="83"/>
      <c r="F453" s="200"/>
      <c r="G453" s="524"/>
      <c r="H453" s="292" t="s">
        <v>593</v>
      </c>
      <c r="I453" s="436">
        <f>I408+I410+I414+I417+I419+I421+I426+I432+I436+I438+I444+I446+I449+I451</f>
        <v>68140000</v>
      </c>
      <c r="J453" s="436">
        <f>J408+J410+J414+J417+J419+J421+J426+J432+J436+J438+J444+J446+J449+J451</f>
        <v>68140000</v>
      </c>
      <c r="K453" s="603">
        <f>K408+K410+K414+K417+K421+K426+K432+K436+K438+K444+K446+K449+K451+K419</f>
        <v>33172536.969999995</v>
      </c>
      <c r="L453" s="517"/>
      <c r="M453" s="512"/>
    </row>
    <row r="454" spans="1:12" s="36" customFormat="1" ht="12.75">
      <c r="A454" s="86"/>
      <c r="B454" s="86"/>
      <c r="C454" s="214"/>
      <c r="D454" s="270"/>
      <c r="E454" s="87"/>
      <c r="F454" s="200"/>
      <c r="G454" s="35"/>
      <c r="H454" s="7"/>
      <c r="I454" s="435"/>
      <c r="J454" s="435"/>
      <c r="K454" s="435"/>
      <c r="L454" s="517"/>
    </row>
    <row r="455" spans="1:12" s="55" customFormat="1" ht="12.75">
      <c r="A455" s="88"/>
      <c r="B455" s="88"/>
      <c r="C455" s="214"/>
      <c r="D455" s="209" t="s">
        <v>765</v>
      </c>
      <c r="E455" s="89"/>
      <c r="F455" s="200"/>
      <c r="G455" s="74"/>
      <c r="H455" s="37" t="s">
        <v>766</v>
      </c>
      <c r="I455" s="436"/>
      <c r="J455" s="436"/>
      <c r="K455" s="436"/>
      <c r="L455" s="517"/>
    </row>
    <row r="456" spans="1:12" s="22" customFormat="1" ht="13.5">
      <c r="A456" s="88"/>
      <c r="B456" s="88"/>
      <c r="C456" s="214"/>
      <c r="D456" s="82"/>
      <c r="E456" s="89">
        <v>810</v>
      </c>
      <c r="F456" s="200"/>
      <c r="G456" s="534"/>
      <c r="H456" s="91" t="s">
        <v>830</v>
      </c>
      <c r="I456" s="449"/>
      <c r="J456" s="449"/>
      <c r="K456" s="449"/>
      <c r="L456" s="517"/>
    </row>
    <row r="457" spans="1:12" s="55" customFormat="1" ht="13.5">
      <c r="A457" s="88"/>
      <c r="B457" s="88"/>
      <c r="C457" s="214"/>
      <c r="D457" s="82"/>
      <c r="E457" s="89"/>
      <c r="F457" s="200" t="s">
        <v>1170</v>
      </c>
      <c r="G457" s="74" t="s">
        <v>604</v>
      </c>
      <c r="H457" s="20" t="s">
        <v>799</v>
      </c>
      <c r="I457" s="436">
        <f>I458+I459</f>
        <v>6500000</v>
      </c>
      <c r="J457" s="436">
        <f>J458+J459</f>
        <v>6500000</v>
      </c>
      <c r="K457" s="436">
        <f>K459+K458</f>
        <v>2409674.41</v>
      </c>
      <c r="L457" s="517"/>
    </row>
    <row r="458" spans="1:12" s="36" customFormat="1" ht="12.75">
      <c r="A458" s="86"/>
      <c r="B458" s="86"/>
      <c r="C458" s="214"/>
      <c r="D458" s="82"/>
      <c r="E458" s="87"/>
      <c r="F458" s="200" t="s">
        <v>1171</v>
      </c>
      <c r="G458" s="35" t="s">
        <v>605</v>
      </c>
      <c r="H458" s="4" t="s">
        <v>920</v>
      </c>
      <c r="I458" s="435">
        <v>5000000</v>
      </c>
      <c r="J458" s="435">
        <v>5000000</v>
      </c>
      <c r="K458" s="435">
        <v>1438793.77</v>
      </c>
      <c r="L458" s="517"/>
    </row>
    <row r="459" spans="1:12" s="36" customFormat="1" ht="12.75">
      <c r="A459" s="86"/>
      <c r="B459" s="86"/>
      <c r="C459" s="214"/>
      <c r="D459" s="82"/>
      <c r="E459" s="87"/>
      <c r="F459" s="200" t="s">
        <v>1172</v>
      </c>
      <c r="G459" s="35" t="s">
        <v>606</v>
      </c>
      <c r="H459" s="5" t="s">
        <v>896</v>
      </c>
      <c r="I459" s="435">
        <v>1500000</v>
      </c>
      <c r="J459" s="435">
        <v>1500000</v>
      </c>
      <c r="K459" s="435">
        <v>970880.64</v>
      </c>
      <c r="L459" s="517"/>
    </row>
    <row r="460" spans="1:12" s="55" customFormat="1" ht="13.5">
      <c r="A460" s="88"/>
      <c r="B460" s="88"/>
      <c r="C460" s="214"/>
      <c r="D460" s="82"/>
      <c r="E460" s="89"/>
      <c r="F460" s="200" t="s">
        <v>1173</v>
      </c>
      <c r="G460" s="74" t="s">
        <v>607</v>
      </c>
      <c r="H460" s="20" t="s">
        <v>797</v>
      </c>
      <c r="I460" s="436">
        <f>I461</f>
        <v>700000</v>
      </c>
      <c r="J460" s="436">
        <f>J461</f>
        <v>700000</v>
      </c>
      <c r="K460" s="436">
        <f>K461</f>
        <v>268735.35</v>
      </c>
      <c r="L460" s="517"/>
    </row>
    <row r="461" spans="1:12" s="36" customFormat="1" ht="12.75">
      <c r="A461" s="86"/>
      <c r="B461" s="86"/>
      <c r="C461" s="214"/>
      <c r="D461" s="82"/>
      <c r="E461" s="87"/>
      <c r="F461" s="200" t="s">
        <v>1174</v>
      </c>
      <c r="G461" s="35" t="s">
        <v>608</v>
      </c>
      <c r="H461" s="4" t="s">
        <v>909</v>
      </c>
      <c r="I461" s="435">
        <v>700000</v>
      </c>
      <c r="J461" s="435">
        <v>700000</v>
      </c>
      <c r="K461" s="435">
        <v>268735.35</v>
      </c>
      <c r="L461" s="517"/>
    </row>
    <row r="462" spans="1:12" s="36" customFormat="1" ht="13.5">
      <c r="A462" s="86"/>
      <c r="B462" s="86"/>
      <c r="C462" s="214"/>
      <c r="D462" s="82"/>
      <c r="E462" s="87"/>
      <c r="F462" s="200" t="s">
        <v>1175</v>
      </c>
      <c r="G462" s="528">
        <v>426000</v>
      </c>
      <c r="H462" s="20" t="s">
        <v>795</v>
      </c>
      <c r="I462" s="436">
        <f>I463</f>
        <v>50000</v>
      </c>
      <c r="J462" s="436">
        <f>J463</f>
        <v>50000</v>
      </c>
      <c r="K462" s="436">
        <f>K463</f>
        <v>18144</v>
      </c>
      <c r="L462" s="517"/>
    </row>
    <row r="463" spans="1:12" s="36" customFormat="1" ht="12.75">
      <c r="A463" s="86"/>
      <c r="B463" s="86"/>
      <c r="C463" s="214"/>
      <c r="D463" s="82"/>
      <c r="E463" s="87"/>
      <c r="F463" s="200" t="s">
        <v>1176</v>
      </c>
      <c r="G463" s="35" t="s">
        <v>596</v>
      </c>
      <c r="H463" s="5" t="s">
        <v>258</v>
      </c>
      <c r="I463" s="435">
        <v>50000</v>
      </c>
      <c r="J463" s="435">
        <v>50000</v>
      </c>
      <c r="K463" s="435">
        <v>18144</v>
      </c>
      <c r="L463" s="517"/>
    </row>
    <row r="464" spans="1:12" s="36" customFormat="1" ht="13.5">
      <c r="A464" s="86"/>
      <c r="B464" s="86"/>
      <c r="C464" s="214"/>
      <c r="D464" s="82"/>
      <c r="E464" s="87"/>
      <c r="F464" s="200" t="s">
        <v>1177</v>
      </c>
      <c r="G464" s="54">
        <v>511000</v>
      </c>
      <c r="H464" s="239" t="s">
        <v>802</v>
      </c>
      <c r="I464" s="436">
        <f>I465</f>
        <v>2000000</v>
      </c>
      <c r="J464" s="436">
        <f>J465</f>
        <v>2000000</v>
      </c>
      <c r="K464" s="436">
        <f>K465</f>
        <v>0</v>
      </c>
      <c r="L464" s="517"/>
    </row>
    <row r="465" spans="1:12" s="36" customFormat="1" ht="12.75">
      <c r="A465" s="86"/>
      <c r="B465" s="86"/>
      <c r="C465" s="214"/>
      <c r="D465" s="82"/>
      <c r="E465" s="87"/>
      <c r="F465" s="200" t="s">
        <v>1178</v>
      </c>
      <c r="G465" s="35">
        <v>511300</v>
      </c>
      <c r="H465" s="52" t="s">
        <v>888</v>
      </c>
      <c r="I465" s="435">
        <v>2000000</v>
      </c>
      <c r="J465" s="435">
        <v>2000000</v>
      </c>
      <c r="K465" s="435">
        <v>0</v>
      </c>
      <c r="L465" s="517"/>
    </row>
    <row r="466" spans="1:12" s="55" customFormat="1" ht="13.5">
      <c r="A466" s="88"/>
      <c r="B466" s="88"/>
      <c r="C466" s="214"/>
      <c r="D466" s="82"/>
      <c r="E466" s="89"/>
      <c r="F466" s="200" t="s">
        <v>1179</v>
      </c>
      <c r="G466" s="54">
        <v>512000</v>
      </c>
      <c r="H466" s="239" t="s">
        <v>796</v>
      </c>
      <c r="I466" s="436">
        <f>I467</f>
        <v>50000</v>
      </c>
      <c r="J466" s="436">
        <f>J467</f>
        <v>50000</v>
      </c>
      <c r="K466" s="436">
        <f>K467</f>
        <v>50000</v>
      </c>
      <c r="L466" s="517"/>
    </row>
    <row r="467" spans="1:12" s="36" customFormat="1" ht="12.75">
      <c r="A467" s="86"/>
      <c r="B467" s="86"/>
      <c r="C467" s="214"/>
      <c r="D467" s="82"/>
      <c r="E467" s="87"/>
      <c r="F467" s="200" t="s">
        <v>1180</v>
      </c>
      <c r="G467" s="35">
        <v>512200</v>
      </c>
      <c r="H467" s="52" t="s">
        <v>916</v>
      </c>
      <c r="I467" s="435">
        <v>50000</v>
      </c>
      <c r="J467" s="435">
        <v>50000</v>
      </c>
      <c r="K467" s="435">
        <v>50000</v>
      </c>
      <c r="L467" s="517"/>
    </row>
    <row r="468" spans="1:12" s="36" customFormat="1" ht="12.75">
      <c r="A468" s="82"/>
      <c r="B468" s="82"/>
      <c r="C468" s="214"/>
      <c r="D468" s="82"/>
      <c r="E468" s="83"/>
      <c r="F468" s="200"/>
      <c r="G468" s="524"/>
      <c r="H468" s="292" t="s">
        <v>609</v>
      </c>
      <c r="I468" s="436">
        <f>I457+I460+I462+I464+I466</f>
        <v>9300000</v>
      </c>
      <c r="J468" s="436">
        <f>J457+J460+J462+J464+J466</f>
        <v>9300000</v>
      </c>
      <c r="K468" s="603">
        <f>K464+K460+K457+K466+K462</f>
        <v>2746553.7600000002</v>
      </c>
      <c r="L468" s="517"/>
    </row>
    <row r="469" spans="1:12" s="36" customFormat="1" ht="12.75">
      <c r="A469" s="82"/>
      <c r="B469" s="82"/>
      <c r="C469" s="214"/>
      <c r="D469" s="82"/>
      <c r="E469" s="83"/>
      <c r="F469" s="200"/>
      <c r="G469" s="524"/>
      <c r="H469" s="292"/>
      <c r="I469" s="436"/>
      <c r="J469" s="436"/>
      <c r="K469" s="436"/>
      <c r="L469" s="517"/>
    </row>
    <row r="470" spans="1:12" s="36" customFormat="1" ht="12.75">
      <c r="A470" s="141"/>
      <c r="B470" s="141"/>
      <c r="C470" s="591"/>
      <c r="D470" s="141" t="s">
        <v>731</v>
      </c>
      <c r="E470" s="344"/>
      <c r="F470" s="203"/>
      <c r="G470" s="592"/>
      <c r="H470" s="593" t="s">
        <v>732</v>
      </c>
      <c r="I470" s="594"/>
      <c r="J470" s="594"/>
      <c r="K470" s="594"/>
      <c r="L470" s="517"/>
    </row>
    <row r="471" spans="1:12" s="36" customFormat="1" ht="12.75">
      <c r="A471" s="141"/>
      <c r="B471" s="141"/>
      <c r="C471" s="591"/>
      <c r="D471" s="141"/>
      <c r="E471" s="595" t="s">
        <v>1272</v>
      </c>
      <c r="F471" s="203"/>
      <c r="G471" s="592"/>
      <c r="H471" s="596" t="s">
        <v>252</v>
      </c>
      <c r="I471" s="594"/>
      <c r="J471" s="594"/>
      <c r="K471" s="594"/>
      <c r="L471" s="517"/>
    </row>
    <row r="472" spans="1:12" s="36" customFormat="1" ht="13.5">
      <c r="A472" s="141"/>
      <c r="B472" s="141"/>
      <c r="C472" s="591"/>
      <c r="D472" s="141"/>
      <c r="E472" s="595"/>
      <c r="F472" s="203"/>
      <c r="G472" s="54">
        <v>422000</v>
      </c>
      <c r="H472" s="20" t="s">
        <v>793</v>
      </c>
      <c r="I472" s="594">
        <f>I473</f>
        <v>20000</v>
      </c>
      <c r="J472" s="594">
        <f>J473</f>
        <v>20000</v>
      </c>
      <c r="K472" s="663">
        <f>K473</f>
        <v>0</v>
      </c>
      <c r="L472" s="517"/>
    </row>
    <row r="473" spans="1:12" s="36" customFormat="1" ht="12.75">
      <c r="A473" s="141"/>
      <c r="B473" s="141"/>
      <c r="C473" s="591"/>
      <c r="D473" s="141"/>
      <c r="E473" s="595"/>
      <c r="F473" s="203"/>
      <c r="G473" s="35">
        <v>422100</v>
      </c>
      <c r="H473" s="4" t="s">
        <v>899</v>
      </c>
      <c r="I473" s="464">
        <v>20000</v>
      </c>
      <c r="J473" s="464">
        <v>20000</v>
      </c>
      <c r="K473" s="464">
        <v>0</v>
      </c>
      <c r="L473" s="517"/>
    </row>
    <row r="474" spans="1:12" s="36" customFormat="1" ht="13.5">
      <c r="A474" s="141"/>
      <c r="B474" s="141"/>
      <c r="C474" s="591"/>
      <c r="D474" s="141"/>
      <c r="E474" s="595"/>
      <c r="F474" s="203"/>
      <c r="G474" s="54">
        <v>423000</v>
      </c>
      <c r="H474" s="20" t="s">
        <v>794</v>
      </c>
      <c r="I474" s="594">
        <f>I475+I476</f>
        <v>50000</v>
      </c>
      <c r="J474" s="594">
        <f>J475+J476</f>
        <v>50000</v>
      </c>
      <c r="K474" s="663">
        <f>K475+K476</f>
        <v>0</v>
      </c>
      <c r="L474" s="517"/>
    </row>
    <row r="475" spans="1:12" s="36" customFormat="1" ht="12.75">
      <c r="A475" s="141"/>
      <c r="B475" s="141"/>
      <c r="C475" s="591"/>
      <c r="D475" s="141"/>
      <c r="E475" s="595"/>
      <c r="F475" s="203"/>
      <c r="G475" s="524" t="s">
        <v>461</v>
      </c>
      <c r="H475" s="4" t="s">
        <v>902</v>
      </c>
      <c r="I475" s="464">
        <v>20000</v>
      </c>
      <c r="J475" s="464">
        <v>20000</v>
      </c>
      <c r="K475" s="464">
        <v>0</v>
      </c>
      <c r="L475" s="517"/>
    </row>
    <row r="476" spans="1:12" s="36" customFormat="1" ht="12.75">
      <c r="A476" s="141"/>
      <c r="B476" s="141"/>
      <c r="C476" s="591"/>
      <c r="D476" s="141"/>
      <c r="E476" s="595"/>
      <c r="F476" s="203"/>
      <c r="G476" s="524">
        <v>423400</v>
      </c>
      <c r="H476" s="4" t="s">
        <v>884</v>
      </c>
      <c r="I476" s="464">
        <v>30000</v>
      </c>
      <c r="J476" s="464">
        <v>30000</v>
      </c>
      <c r="K476" s="464">
        <v>0</v>
      </c>
      <c r="L476" s="517"/>
    </row>
    <row r="477" spans="1:12" s="36" customFormat="1" ht="13.5">
      <c r="A477" s="141"/>
      <c r="B477" s="141"/>
      <c r="C477" s="591"/>
      <c r="D477" s="141"/>
      <c r="E477" s="344"/>
      <c r="F477" s="203"/>
      <c r="G477" s="528">
        <v>424000</v>
      </c>
      <c r="H477" s="20" t="s">
        <v>800</v>
      </c>
      <c r="I477" s="594">
        <f>I478</f>
        <v>20000</v>
      </c>
      <c r="J477" s="594">
        <f>J478</f>
        <v>20000</v>
      </c>
      <c r="K477" s="663">
        <f>K478</f>
        <v>0</v>
      </c>
      <c r="L477" s="517"/>
    </row>
    <row r="478" spans="1:12" s="36" customFormat="1" ht="12.75">
      <c r="A478" s="141"/>
      <c r="B478" s="141"/>
      <c r="C478" s="591"/>
      <c r="D478" s="141"/>
      <c r="E478" s="344"/>
      <c r="F478" s="203"/>
      <c r="G478" s="524">
        <v>424200</v>
      </c>
      <c r="H478" s="4" t="s">
        <v>907</v>
      </c>
      <c r="I478" s="464">
        <v>20000</v>
      </c>
      <c r="J478" s="464">
        <v>20000</v>
      </c>
      <c r="K478" s="464">
        <v>0</v>
      </c>
      <c r="L478" s="517"/>
    </row>
    <row r="479" spans="1:12" s="36" customFormat="1" ht="12.75">
      <c r="A479" s="141"/>
      <c r="B479" s="141"/>
      <c r="C479" s="591"/>
      <c r="D479" s="141"/>
      <c r="E479" s="344"/>
      <c r="F479" s="203"/>
      <c r="G479" s="35"/>
      <c r="H479" s="52" t="s">
        <v>730</v>
      </c>
      <c r="I479" s="594">
        <f>I472+I474+I477</f>
        <v>90000</v>
      </c>
      <c r="J479" s="594">
        <f>J472+J474+J477</f>
        <v>90000</v>
      </c>
      <c r="K479" s="743">
        <f>K472+K474+K477</f>
        <v>0</v>
      </c>
      <c r="L479" s="598"/>
    </row>
    <row r="480" spans="1:15" s="597" customFormat="1" ht="12.75">
      <c r="A480" s="586"/>
      <c r="B480" s="586"/>
      <c r="C480" s="587"/>
      <c r="D480" s="586"/>
      <c r="E480" s="588"/>
      <c r="F480" s="589"/>
      <c r="G480" s="540"/>
      <c r="H480" s="484" t="s">
        <v>10</v>
      </c>
      <c r="I480" s="590">
        <f>I479+I468+I453</f>
        <v>77530000</v>
      </c>
      <c r="J480" s="590">
        <f>J479+J468+J453</f>
        <v>77530000</v>
      </c>
      <c r="K480" s="590">
        <f>K479+K468+K453</f>
        <v>35919090.73</v>
      </c>
      <c r="L480" s="598"/>
      <c r="M480" s="36"/>
      <c r="N480" s="36"/>
      <c r="O480" s="36"/>
    </row>
    <row r="481" spans="1:12" s="36" customFormat="1" ht="13.5" thickBot="1">
      <c r="A481" s="294"/>
      <c r="B481" s="294"/>
      <c r="C481" s="295"/>
      <c r="D481" s="294"/>
      <c r="E481" s="297"/>
      <c r="F481" s="298"/>
      <c r="G481" s="524"/>
      <c r="H481" s="4"/>
      <c r="I481" s="440"/>
      <c r="J481" s="440"/>
      <c r="K481" s="440"/>
      <c r="L481" s="517"/>
    </row>
    <row r="482" spans="1:12" s="22" customFormat="1" ht="15.75" thickBot="1" thickTop="1">
      <c r="A482" s="104"/>
      <c r="B482" s="104">
        <v>15</v>
      </c>
      <c r="C482" s="213" t="s">
        <v>184</v>
      </c>
      <c r="D482" s="142"/>
      <c r="E482" s="105"/>
      <c r="F482" s="198"/>
      <c r="G482" s="525"/>
      <c r="H482" s="106" t="s">
        <v>940</v>
      </c>
      <c r="I482" s="457"/>
      <c r="J482" s="457"/>
      <c r="K482" s="457"/>
      <c r="L482" s="517"/>
    </row>
    <row r="483" spans="1:12" s="22" customFormat="1" ht="12.75" customHeight="1" thickTop="1">
      <c r="A483" s="283"/>
      <c r="B483" s="283"/>
      <c r="C483" s="284"/>
      <c r="D483" s="285" t="s">
        <v>648</v>
      </c>
      <c r="E483" s="286"/>
      <c r="F483" s="301"/>
      <c r="G483" s="526"/>
      <c r="H483" s="288" t="s">
        <v>646</v>
      </c>
      <c r="I483" s="431"/>
      <c r="J483" s="431"/>
      <c r="K483" s="431"/>
      <c r="L483" s="517"/>
    </row>
    <row r="484" spans="1:12" s="22" customFormat="1" ht="24" customHeight="1">
      <c r="A484" s="88"/>
      <c r="B484" s="88"/>
      <c r="C484" s="214"/>
      <c r="D484" s="274" t="s">
        <v>649</v>
      </c>
      <c r="E484" s="89"/>
      <c r="F484" s="200"/>
      <c r="G484" s="527"/>
      <c r="H484" s="125" t="s">
        <v>647</v>
      </c>
      <c r="I484" s="432"/>
      <c r="J484" s="432"/>
      <c r="K484" s="432"/>
      <c r="L484" s="517"/>
    </row>
    <row r="485" spans="1:12" s="22" customFormat="1" ht="13.5">
      <c r="A485" s="88"/>
      <c r="B485" s="88"/>
      <c r="C485" s="214"/>
      <c r="D485" s="270"/>
      <c r="E485" s="89">
        <v>820</v>
      </c>
      <c r="F485" s="200"/>
      <c r="G485" s="534"/>
      <c r="H485" s="91" t="s">
        <v>250</v>
      </c>
      <c r="I485" s="449"/>
      <c r="J485" s="449"/>
      <c r="K485" s="449"/>
      <c r="L485" s="517"/>
    </row>
    <row r="486" spans="1:12" s="22" customFormat="1" ht="13.5">
      <c r="A486" s="88"/>
      <c r="B486" s="88"/>
      <c r="C486" s="214"/>
      <c r="D486" s="270"/>
      <c r="E486" s="89"/>
      <c r="F486" s="200" t="s">
        <v>1181</v>
      </c>
      <c r="G486" s="54">
        <v>411000</v>
      </c>
      <c r="H486" s="20" t="s">
        <v>866</v>
      </c>
      <c r="I486" s="434">
        <f>I487</f>
        <v>12320000</v>
      </c>
      <c r="J486" s="434">
        <f>J487</f>
        <v>12320000</v>
      </c>
      <c r="K486" s="434">
        <f>K487</f>
        <v>6005075.72</v>
      </c>
      <c r="L486" s="517"/>
    </row>
    <row r="487" spans="1:12" ht="12.75">
      <c r="A487" s="86"/>
      <c r="B487" s="86"/>
      <c r="C487" s="214"/>
      <c r="D487" s="270"/>
      <c r="E487" s="87"/>
      <c r="F487" s="200" t="s">
        <v>1182</v>
      </c>
      <c r="G487" s="35">
        <v>411100</v>
      </c>
      <c r="H487" s="4" t="s">
        <v>878</v>
      </c>
      <c r="I487" s="435">
        <v>12320000</v>
      </c>
      <c r="J487" s="435">
        <v>12320000</v>
      </c>
      <c r="K487" s="435">
        <v>6005075.72</v>
      </c>
      <c r="L487" s="517"/>
    </row>
    <row r="488" spans="1:12" s="22" customFormat="1" ht="13.5">
      <c r="A488" s="88"/>
      <c r="B488" s="88"/>
      <c r="C488" s="214"/>
      <c r="D488" s="270"/>
      <c r="E488" s="89"/>
      <c r="F488" s="200" t="s">
        <v>1183</v>
      </c>
      <c r="G488" s="54">
        <v>412000</v>
      </c>
      <c r="H488" s="20" t="s">
        <v>801</v>
      </c>
      <c r="I488" s="434">
        <f>I489+I490+I491</f>
        <v>2203000</v>
      </c>
      <c r="J488" s="434">
        <f>J489+J490+J491</f>
        <v>2203000</v>
      </c>
      <c r="K488" s="434">
        <f>K489+K490+K491</f>
        <v>1074908.53</v>
      </c>
      <c r="L488" s="517"/>
    </row>
    <row r="489" spans="1:12" ht="12.75">
      <c r="A489" s="86"/>
      <c r="B489" s="86"/>
      <c r="C489" s="214"/>
      <c r="D489" s="270"/>
      <c r="E489" s="87"/>
      <c r="F489" s="200" t="s">
        <v>1184</v>
      </c>
      <c r="G489" s="35">
        <v>412100</v>
      </c>
      <c r="H489" s="4" t="s">
        <v>879</v>
      </c>
      <c r="I489" s="435">
        <v>1475000</v>
      </c>
      <c r="J489" s="435">
        <v>1475000</v>
      </c>
      <c r="K489" s="435">
        <v>720609.07</v>
      </c>
      <c r="L489" s="517"/>
    </row>
    <row r="490" spans="1:12" ht="12.75">
      <c r="A490" s="82"/>
      <c r="B490" s="82"/>
      <c r="C490" s="214"/>
      <c r="D490" s="270"/>
      <c r="E490" s="83"/>
      <c r="F490" s="200" t="s">
        <v>1185</v>
      </c>
      <c r="G490" s="35">
        <v>412200</v>
      </c>
      <c r="H490" s="4" t="s">
        <v>880</v>
      </c>
      <c r="I490" s="435">
        <v>635000</v>
      </c>
      <c r="J490" s="435">
        <v>635000</v>
      </c>
      <c r="K490" s="435">
        <v>309261.39</v>
      </c>
      <c r="L490" s="517"/>
    </row>
    <row r="491" spans="1:12" ht="12.75">
      <c r="A491" s="82"/>
      <c r="B491" s="82"/>
      <c r="C491" s="214"/>
      <c r="D491" s="270"/>
      <c r="E491" s="83"/>
      <c r="F491" s="200" t="s">
        <v>1186</v>
      </c>
      <c r="G491" s="35">
        <v>412300</v>
      </c>
      <c r="H491" s="4" t="s">
        <v>881</v>
      </c>
      <c r="I491" s="435">
        <v>93000</v>
      </c>
      <c r="J491" s="435">
        <v>93000</v>
      </c>
      <c r="K491" s="435">
        <v>45038.07</v>
      </c>
      <c r="L491" s="517"/>
    </row>
    <row r="492" spans="1:12" s="22" customFormat="1" ht="13.5">
      <c r="A492" s="88"/>
      <c r="B492" s="88"/>
      <c r="C492" s="214"/>
      <c r="D492" s="270"/>
      <c r="E492" s="89"/>
      <c r="F492" s="200" t="s">
        <v>1187</v>
      </c>
      <c r="G492" s="54">
        <v>414000</v>
      </c>
      <c r="H492" s="20" t="s">
        <v>792</v>
      </c>
      <c r="I492" s="434">
        <f>I493</f>
        <v>1452000</v>
      </c>
      <c r="J492" s="434">
        <f>J493</f>
        <v>1452000</v>
      </c>
      <c r="K492" s="434">
        <f>K493</f>
        <v>0</v>
      </c>
      <c r="L492" s="517"/>
    </row>
    <row r="493" spans="1:12" ht="12.75">
      <c r="A493" s="86"/>
      <c r="B493" s="86"/>
      <c r="C493" s="214"/>
      <c r="D493" s="270"/>
      <c r="E493" s="87"/>
      <c r="F493" s="200" t="s">
        <v>1188</v>
      </c>
      <c r="G493" s="35">
        <v>414300</v>
      </c>
      <c r="H493" s="4" t="s">
        <v>893</v>
      </c>
      <c r="I493" s="435">
        <v>1452000</v>
      </c>
      <c r="J493" s="435">
        <v>1452000</v>
      </c>
      <c r="K493" s="435">
        <v>0</v>
      </c>
      <c r="L493" s="517"/>
    </row>
    <row r="494" spans="1:12" s="22" customFormat="1" ht="13.5">
      <c r="A494" s="88"/>
      <c r="B494" s="88"/>
      <c r="C494" s="214"/>
      <c r="D494" s="270"/>
      <c r="E494" s="89"/>
      <c r="F494" s="200" t="s">
        <v>1189</v>
      </c>
      <c r="G494" s="54">
        <v>415000</v>
      </c>
      <c r="H494" s="239" t="s">
        <v>852</v>
      </c>
      <c r="I494" s="434">
        <f>I495</f>
        <v>765000</v>
      </c>
      <c r="J494" s="434">
        <f>J495</f>
        <v>765000</v>
      </c>
      <c r="K494" s="434">
        <f>K495</f>
        <v>330442.84</v>
      </c>
      <c r="L494" s="517"/>
    </row>
    <row r="495" spans="1:12" ht="12.75">
      <c r="A495" s="86"/>
      <c r="B495" s="86"/>
      <c r="C495" s="214"/>
      <c r="D495" s="270"/>
      <c r="E495" s="87"/>
      <c r="F495" s="200" t="s">
        <v>1190</v>
      </c>
      <c r="G495" s="35">
        <v>415100</v>
      </c>
      <c r="H495" s="52" t="s">
        <v>852</v>
      </c>
      <c r="I495" s="435">
        <v>765000</v>
      </c>
      <c r="J495" s="435">
        <v>765000</v>
      </c>
      <c r="K495" s="435">
        <v>330442.84</v>
      </c>
      <c r="L495" s="517"/>
    </row>
    <row r="496" spans="1:12" s="22" customFormat="1" ht="13.5">
      <c r="A496" s="88"/>
      <c r="B496" s="88"/>
      <c r="C496" s="214"/>
      <c r="D496" s="270"/>
      <c r="E496" s="89"/>
      <c r="F496" s="200" t="s">
        <v>1191</v>
      </c>
      <c r="G496" s="54">
        <v>416000</v>
      </c>
      <c r="H496" s="20" t="s">
        <v>853</v>
      </c>
      <c r="I496" s="434">
        <f>I497</f>
        <v>640000</v>
      </c>
      <c r="J496" s="434">
        <f>J497</f>
        <v>640000</v>
      </c>
      <c r="K496" s="434">
        <f>K497</f>
        <v>133858.22</v>
      </c>
      <c r="L496" s="517"/>
    </row>
    <row r="497" spans="1:12" ht="12.75">
      <c r="A497" s="86"/>
      <c r="B497" s="86"/>
      <c r="C497" s="214"/>
      <c r="D497" s="270"/>
      <c r="E497" s="87"/>
      <c r="F497" s="200" t="s">
        <v>1192</v>
      </c>
      <c r="G497" s="35">
        <v>416100</v>
      </c>
      <c r="H497" s="4" t="s">
        <v>853</v>
      </c>
      <c r="I497" s="435">
        <v>640000</v>
      </c>
      <c r="J497" s="435">
        <v>640000</v>
      </c>
      <c r="K497" s="435">
        <v>133858.22</v>
      </c>
      <c r="L497" s="517"/>
    </row>
    <row r="498" spans="1:12" s="22" customFormat="1" ht="13.5">
      <c r="A498" s="88"/>
      <c r="B498" s="88"/>
      <c r="C498" s="214"/>
      <c r="D498" s="270"/>
      <c r="E498" s="89"/>
      <c r="F498" s="200" t="s">
        <v>1193</v>
      </c>
      <c r="G498" s="54">
        <v>421000</v>
      </c>
      <c r="H498" s="20" t="s">
        <v>799</v>
      </c>
      <c r="I498" s="434">
        <f>I499+I500+I501+I502+I503+I504</f>
        <v>753000</v>
      </c>
      <c r="J498" s="434">
        <f>J499+J500+J501+J502+J503+J504</f>
        <v>753000</v>
      </c>
      <c r="K498" s="434">
        <f>K499+K500+K501+K502+K503+K504</f>
        <v>254401.46999999997</v>
      </c>
      <c r="L498" s="517"/>
    </row>
    <row r="499" spans="1:12" ht="12.75">
      <c r="A499" s="86"/>
      <c r="B499" s="86"/>
      <c r="C499" s="214"/>
      <c r="D499" s="270"/>
      <c r="E499" s="87"/>
      <c r="F499" s="200" t="s">
        <v>1194</v>
      </c>
      <c r="G499" s="35">
        <v>421100</v>
      </c>
      <c r="H499" s="4" t="s">
        <v>894</v>
      </c>
      <c r="I499" s="435">
        <v>50000</v>
      </c>
      <c r="J499" s="435">
        <v>50000</v>
      </c>
      <c r="K499" s="435">
        <v>20580.68</v>
      </c>
      <c r="L499" s="517"/>
    </row>
    <row r="500" spans="1:12" ht="12.75">
      <c r="A500" s="82"/>
      <c r="B500" s="82"/>
      <c r="C500" s="214"/>
      <c r="D500" s="270"/>
      <c r="E500" s="83"/>
      <c r="F500" s="200" t="s">
        <v>1195</v>
      </c>
      <c r="G500" s="35">
        <v>421200</v>
      </c>
      <c r="H500" s="4" t="s">
        <v>920</v>
      </c>
      <c r="I500" s="435">
        <v>300000</v>
      </c>
      <c r="J500" s="435">
        <v>300000</v>
      </c>
      <c r="K500" s="435">
        <v>83670.72</v>
      </c>
      <c r="L500" s="517"/>
    </row>
    <row r="501" spans="1:12" ht="12.75">
      <c r="A501" s="82"/>
      <c r="B501" s="82"/>
      <c r="C501" s="214"/>
      <c r="D501" s="270"/>
      <c r="E501" s="83"/>
      <c r="F501" s="200" t="s">
        <v>1196</v>
      </c>
      <c r="G501" s="524">
        <v>421300</v>
      </c>
      <c r="H501" s="5" t="s">
        <v>896</v>
      </c>
      <c r="I501" s="435">
        <v>70000</v>
      </c>
      <c r="J501" s="435">
        <v>70000</v>
      </c>
      <c r="K501" s="435">
        <v>34494.14</v>
      </c>
      <c r="L501" s="517"/>
    </row>
    <row r="502" spans="1:12" ht="12.75">
      <c r="A502" s="82"/>
      <c r="B502" s="82"/>
      <c r="C502" s="214"/>
      <c r="D502" s="270"/>
      <c r="E502" s="83"/>
      <c r="F502" s="200" t="s">
        <v>1197</v>
      </c>
      <c r="G502" s="35">
        <v>421400</v>
      </c>
      <c r="H502" s="5" t="s">
        <v>883</v>
      </c>
      <c r="I502" s="435">
        <v>92000</v>
      </c>
      <c r="J502" s="435">
        <v>92000</v>
      </c>
      <c r="K502" s="435">
        <v>40356.98</v>
      </c>
      <c r="L502" s="517"/>
    </row>
    <row r="503" spans="1:12" ht="12.75">
      <c r="A503" s="82"/>
      <c r="B503" s="82"/>
      <c r="C503" s="214"/>
      <c r="D503" s="270"/>
      <c r="E503" s="83"/>
      <c r="F503" s="200" t="s">
        <v>1198</v>
      </c>
      <c r="G503" s="35">
        <v>421500</v>
      </c>
      <c r="H503" s="4" t="s">
        <v>897</v>
      </c>
      <c r="I503" s="435">
        <v>50000</v>
      </c>
      <c r="J503" s="435">
        <v>50000</v>
      </c>
      <c r="K503" s="435">
        <v>17007.75</v>
      </c>
      <c r="L503" s="517"/>
    </row>
    <row r="504" spans="1:12" ht="12.75">
      <c r="A504" s="82"/>
      <c r="B504" s="82"/>
      <c r="C504" s="214"/>
      <c r="D504" s="270"/>
      <c r="E504" s="83"/>
      <c r="F504" s="200" t="s">
        <v>1199</v>
      </c>
      <c r="G504" s="35">
        <v>421600</v>
      </c>
      <c r="H504" s="4" t="s">
        <v>898</v>
      </c>
      <c r="I504" s="435">
        <v>191000</v>
      </c>
      <c r="J504" s="435">
        <v>191000</v>
      </c>
      <c r="K504" s="435">
        <v>58291.2</v>
      </c>
      <c r="L504" s="517"/>
    </row>
    <row r="505" spans="1:12" ht="12.75">
      <c r="A505" s="82"/>
      <c r="B505" s="82"/>
      <c r="C505" s="214"/>
      <c r="D505" s="270"/>
      <c r="E505" s="83"/>
      <c r="F505" s="200"/>
      <c r="G505" s="35"/>
      <c r="H505" s="4"/>
      <c r="I505" s="435"/>
      <c r="J505" s="435"/>
      <c r="K505" s="435"/>
      <c r="L505" s="517"/>
    </row>
    <row r="506" spans="1:12" s="36" customFormat="1" ht="12.75">
      <c r="A506" s="82"/>
      <c r="B506" s="82"/>
      <c r="C506" s="214"/>
      <c r="D506" s="270"/>
      <c r="E506" s="83"/>
      <c r="F506" s="200"/>
      <c r="G506" s="524"/>
      <c r="H506" s="292" t="s">
        <v>651</v>
      </c>
      <c r="I506" s="665">
        <f>I498+I496+I494+I492+I488+I486</f>
        <v>18133000</v>
      </c>
      <c r="J506" s="665">
        <f>J498+J496+J494+J492+J488+J486</f>
        <v>18133000</v>
      </c>
      <c r="K506" s="603">
        <f>K486+K488+K492+K494+K496+K498</f>
        <v>7798686.779999999</v>
      </c>
      <c r="L506" s="517"/>
    </row>
    <row r="507" spans="1:12" s="36" customFormat="1" ht="12.75">
      <c r="A507" s="82"/>
      <c r="B507" s="82"/>
      <c r="C507" s="214"/>
      <c r="D507" s="270"/>
      <c r="E507" s="83"/>
      <c r="F507" s="200"/>
      <c r="G507" s="524"/>
      <c r="H507" s="292"/>
      <c r="I507" s="436"/>
      <c r="J507" s="436"/>
      <c r="K507" s="436"/>
      <c r="L507" s="517"/>
    </row>
    <row r="508" spans="1:12" s="22" customFormat="1" ht="24" customHeight="1">
      <c r="A508" s="88"/>
      <c r="B508" s="88"/>
      <c r="C508" s="214"/>
      <c r="D508" s="274" t="s">
        <v>760</v>
      </c>
      <c r="E508" s="89"/>
      <c r="F508" s="200"/>
      <c r="G508" s="527"/>
      <c r="H508" s="125" t="s">
        <v>761</v>
      </c>
      <c r="I508" s="432"/>
      <c r="J508" s="432"/>
      <c r="K508" s="432"/>
      <c r="L508" s="517"/>
    </row>
    <row r="509" spans="1:12" s="22" customFormat="1" ht="13.5">
      <c r="A509" s="88"/>
      <c r="B509" s="88"/>
      <c r="C509" s="214"/>
      <c r="D509" s="270"/>
      <c r="E509" s="89">
        <v>820</v>
      </c>
      <c r="F509" s="200"/>
      <c r="G509" s="534"/>
      <c r="H509" s="91" t="s">
        <v>250</v>
      </c>
      <c r="I509" s="449"/>
      <c r="J509" s="449"/>
      <c r="K509" s="449"/>
      <c r="L509" s="517"/>
    </row>
    <row r="510" spans="1:12" s="24" customFormat="1" ht="13.5">
      <c r="A510" s="84"/>
      <c r="B510" s="84"/>
      <c r="C510" s="215"/>
      <c r="D510" s="208"/>
      <c r="E510" s="85"/>
      <c r="F510" s="200" t="s">
        <v>1200</v>
      </c>
      <c r="G510" s="54">
        <v>422000</v>
      </c>
      <c r="H510" s="20" t="s">
        <v>793</v>
      </c>
      <c r="I510" s="434">
        <f>I511+I512</f>
        <v>140000</v>
      </c>
      <c r="J510" s="434">
        <f>J511+J512</f>
        <v>140000</v>
      </c>
      <c r="K510" s="434">
        <f>K511+K512</f>
        <v>2270</v>
      </c>
      <c r="L510" s="517"/>
    </row>
    <row r="511" spans="1:12" ht="12.75">
      <c r="A511" s="86"/>
      <c r="B511" s="86"/>
      <c r="C511" s="214"/>
      <c r="D511" s="270"/>
      <c r="E511" s="87"/>
      <c r="F511" s="200" t="s">
        <v>1201</v>
      </c>
      <c r="G511" s="35">
        <v>422100</v>
      </c>
      <c r="H511" s="4" t="s">
        <v>899</v>
      </c>
      <c r="I511" s="435">
        <v>100000</v>
      </c>
      <c r="J511" s="435">
        <v>100000</v>
      </c>
      <c r="K511" s="435">
        <v>2270</v>
      </c>
      <c r="L511" s="517"/>
    </row>
    <row r="512" spans="1:12" ht="12.75">
      <c r="A512" s="86"/>
      <c r="B512" s="86"/>
      <c r="C512" s="214"/>
      <c r="D512" s="270"/>
      <c r="E512" s="87"/>
      <c r="F512" s="200" t="s">
        <v>1202</v>
      </c>
      <c r="G512" s="35" t="s">
        <v>610</v>
      </c>
      <c r="H512" s="76" t="s">
        <v>611</v>
      </c>
      <c r="I512" s="435">
        <v>40000</v>
      </c>
      <c r="J512" s="435">
        <v>40000</v>
      </c>
      <c r="K512" s="435">
        <v>0</v>
      </c>
      <c r="L512" s="517"/>
    </row>
    <row r="513" spans="1:12" s="22" customFormat="1" ht="13.5">
      <c r="A513" s="88"/>
      <c r="B513" s="88"/>
      <c r="C513" s="214"/>
      <c r="D513" s="270"/>
      <c r="E513" s="89"/>
      <c r="F513" s="200" t="s">
        <v>1203</v>
      </c>
      <c r="G513" s="54">
        <v>423000</v>
      </c>
      <c r="H513" s="20" t="s">
        <v>794</v>
      </c>
      <c r="I513" s="434">
        <f>I514+I515+I516+I517</f>
        <v>300000</v>
      </c>
      <c r="J513" s="434">
        <f>J514+J515+J516+J517</f>
        <v>300000</v>
      </c>
      <c r="K513" s="434">
        <f>K514+K515+K516+K517</f>
        <v>26080</v>
      </c>
      <c r="L513" s="517"/>
    </row>
    <row r="514" spans="1:12" ht="12.75">
      <c r="A514" s="86"/>
      <c r="B514" s="86"/>
      <c r="C514" s="214"/>
      <c r="D514" s="270"/>
      <c r="E514" s="87"/>
      <c r="F514" s="200" t="s">
        <v>1204</v>
      </c>
      <c r="G514" s="35">
        <v>423200</v>
      </c>
      <c r="H514" s="4" t="s">
        <v>901</v>
      </c>
      <c r="I514" s="435">
        <v>50000</v>
      </c>
      <c r="J514" s="435">
        <v>50000</v>
      </c>
      <c r="K514" s="435">
        <v>23100</v>
      </c>
      <c r="L514" s="517"/>
    </row>
    <row r="515" spans="1:12" ht="12.75">
      <c r="A515" s="82"/>
      <c r="B515" s="82"/>
      <c r="C515" s="214"/>
      <c r="D515" s="270"/>
      <c r="E515" s="83"/>
      <c r="F515" s="200" t="s">
        <v>1205</v>
      </c>
      <c r="G515" s="35">
        <v>423300</v>
      </c>
      <c r="H515" s="4" t="s">
        <v>902</v>
      </c>
      <c r="I515" s="435">
        <v>50000</v>
      </c>
      <c r="J515" s="435">
        <v>50000</v>
      </c>
      <c r="K515" s="435">
        <v>0</v>
      </c>
      <c r="L515" s="517"/>
    </row>
    <row r="516" spans="1:12" ht="12.75">
      <c r="A516" s="82"/>
      <c r="B516" s="82"/>
      <c r="C516" s="214"/>
      <c r="D516" s="270"/>
      <c r="E516" s="83"/>
      <c r="F516" s="200" t="s">
        <v>1206</v>
      </c>
      <c r="G516" s="524">
        <v>423400</v>
      </c>
      <c r="H516" s="4" t="s">
        <v>884</v>
      </c>
      <c r="I516" s="435">
        <v>80000</v>
      </c>
      <c r="J516" s="435">
        <v>80000</v>
      </c>
      <c r="K516" s="435">
        <v>0</v>
      </c>
      <c r="L516" s="517"/>
    </row>
    <row r="517" spans="1:12" ht="12.75">
      <c r="A517" s="82"/>
      <c r="B517" s="82"/>
      <c r="C517" s="214"/>
      <c r="D517" s="270"/>
      <c r="E517" s="83"/>
      <c r="F517" s="200" t="s">
        <v>1207</v>
      </c>
      <c r="G517" s="524">
        <v>423600</v>
      </c>
      <c r="H517" s="4" t="s">
        <v>904</v>
      </c>
      <c r="I517" s="435">
        <v>120000</v>
      </c>
      <c r="J517" s="435">
        <v>120000</v>
      </c>
      <c r="K517" s="435">
        <v>2980</v>
      </c>
      <c r="L517" s="517"/>
    </row>
    <row r="518" spans="1:12" s="22" customFormat="1" ht="13.5">
      <c r="A518" s="88"/>
      <c r="B518" s="88"/>
      <c r="C518" s="214"/>
      <c r="D518" s="270"/>
      <c r="E518" s="89"/>
      <c r="F518" s="200" t="s">
        <v>1208</v>
      </c>
      <c r="G518" s="528">
        <v>424000</v>
      </c>
      <c r="H518" s="20" t="s">
        <v>800</v>
      </c>
      <c r="I518" s="434">
        <f>I519+I520</f>
        <v>480000</v>
      </c>
      <c r="J518" s="434">
        <f>J519+J520</f>
        <v>480000</v>
      </c>
      <c r="K518" s="434">
        <f>K519+K520</f>
        <v>64018</v>
      </c>
      <c r="L518" s="517"/>
    </row>
    <row r="519" spans="1:12" ht="12.75">
      <c r="A519" s="86"/>
      <c r="B519" s="86"/>
      <c r="C519" s="214"/>
      <c r="D519" s="270"/>
      <c r="E519" s="87"/>
      <c r="F519" s="200" t="s">
        <v>1209</v>
      </c>
      <c r="G519" s="524">
        <v>424200</v>
      </c>
      <c r="H519" s="4" t="s">
        <v>907</v>
      </c>
      <c r="I519" s="435">
        <v>380000</v>
      </c>
      <c r="J519" s="435">
        <v>380000</v>
      </c>
      <c r="K519" s="435">
        <v>45880</v>
      </c>
      <c r="L519" s="517"/>
    </row>
    <row r="520" spans="1:12" ht="12.75">
      <c r="A520" s="86"/>
      <c r="B520" s="86"/>
      <c r="C520" s="214"/>
      <c r="D520" s="270"/>
      <c r="E520" s="87"/>
      <c r="F520" s="200" t="s">
        <v>1210</v>
      </c>
      <c r="G520" s="524" t="s">
        <v>612</v>
      </c>
      <c r="H520" s="76" t="s">
        <v>631</v>
      </c>
      <c r="I520" s="435">
        <v>100000</v>
      </c>
      <c r="J520" s="435">
        <v>100000</v>
      </c>
      <c r="K520" s="435">
        <v>18138</v>
      </c>
      <c r="L520" s="517"/>
    </row>
    <row r="521" spans="1:12" s="22" customFormat="1" ht="13.5">
      <c r="A521" s="88"/>
      <c r="B521" s="88"/>
      <c r="C521" s="214"/>
      <c r="D521" s="270"/>
      <c r="E521" s="89"/>
      <c r="F521" s="200" t="s">
        <v>1211</v>
      </c>
      <c r="G521" s="528">
        <v>425000</v>
      </c>
      <c r="H521" s="20" t="s">
        <v>797</v>
      </c>
      <c r="I521" s="434">
        <f>I522+I523</f>
        <v>235000</v>
      </c>
      <c r="J521" s="434">
        <f>J522+J523</f>
        <v>235000</v>
      </c>
      <c r="K521" s="434">
        <f>K522+K523</f>
        <v>46249.9</v>
      </c>
      <c r="L521" s="517"/>
    </row>
    <row r="522" spans="1:12" ht="12.75">
      <c r="A522" s="86"/>
      <c r="B522" s="86"/>
      <c r="C522" s="214"/>
      <c r="D522" s="270"/>
      <c r="E522" s="87"/>
      <c r="F522" s="200" t="s">
        <v>1212</v>
      </c>
      <c r="G522" s="524">
        <v>425100</v>
      </c>
      <c r="H522" s="4" t="s">
        <v>909</v>
      </c>
      <c r="I522" s="435">
        <v>185000</v>
      </c>
      <c r="J522" s="435">
        <v>185000</v>
      </c>
      <c r="K522" s="435">
        <v>28460</v>
      </c>
      <c r="L522" s="517"/>
    </row>
    <row r="523" spans="1:12" ht="12.75">
      <c r="A523" s="82"/>
      <c r="B523" s="82"/>
      <c r="C523" s="214"/>
      <c r="D523" s="270"/>
      <c r="E523" s="83"/>
      <c r="F523" s="200" t="s">
        <v>1213</v>
      </c>
      <c r="G523" s="524">
        <v>425200</v>
      </c>
      <c r="H523" s="4" t="s">
        <v>910</v>
      </c>
      <c r="I523" s="435">
        <v>50000</v>
      </c>
      <c r="J523" s="435">
        <v>50000</v>
      </c>
      <c r="K523" s="435">
        <v>17789.9</v>
      </c>
      <c r="L523" s="517"/>
    </row>
    <row r="524" spans="1:12" s="22" customFormat="1" ht="13.5">
      <c r="A524" s="88"/>
      <c r="B524" s="88"/>
      <c r="C524" s="214"/>
      <c r="D524" s="270"/>
      <c r="E524" s="89"/>
      <c r="F524" s="200" t="s">
        <v>1214</v>
      </c>
      <c r="G524" s="528">
        <v>426000</v>
      </c>
      <c r="H524" s="20" t="s">
        <v>795</v>
      </c>
      <c r="I524" s="434">
        <f>I525+I526+I527+I528</f>
        <v>430000</v>
      </c>
      <c r="J524" s="434">
        <f>J525+J526+J527+J528</f>
        <v>430000</v>
      </c>
      <c r="K524" s="434">
        <f>K525+K526+K527+K528</f>
        <v>69280.36</v>
      </c>
      <c r="L524" s="517"/>
    </row>
    <row r="525" spans="1:12" ht="12.75">
      <c r="A525" s="86"/>
      <c r="B525" s="86"/>
      <c r="C525" s="214"/>
      <c r="D525" s="270"/>
      <c r="E525" s="87"/>
      <c r="F525" s="200" t="s">
        <v>1215</v>
      </c>
      <c r="G525" s="524">
        <v>426100</v>
      </c>
      <c r="H525" s="4" t="s">
        <v>911</v>
      </c>
      <c r="I525" s="435">
        <v>150000</v>
      </c>
      <c r="J525" s="435">
        <v>150000</v>
      </c>
      <c r="K525" s="435">
        <v>30228</v>
      </c>
      <c r="L525" s="517"/>
    </row>
    <row r="526" spans="1:12" ht="12.75">
      <c r="A526" s="82"/>
      <c r="B526" s="82"/>
      <c r="C526" s="214"/>
      <c r="D526" s="270"/>
      <c r="E526" s="83"/>
      <c r="F526" s="200" t="s">
        <v>1216</v>
      </c>
      <c r="G526" s="524">
        <v>426400</v>
      </c>
      <c r="H526" s="4" t="s">
        <v>215</v>
      </c>
      <c r="I526" s="435">
        <v>100000</v>
      </c>
      <c r="J526" s="435">
        <v>100000</v>
      </c>
      <c r="K526" s="435">
        <v>29997.36</v>
      </c>
      <c r="L526" s="517"/>
    </row>
    <row r="527" spans="1:12" ht="12.75">
      <c r="A527" s="82"/>
      <c r="B527" s="82"/>
      <c r="C527" s="214"/>
      <c r="D527" s="270"/>
      <c r="E527" s="83"/>
      <c r="F527" s="200" t="s">
        <v>1217</v>
      </c>
      <c r="G527" s="524">
        <v>426600</v>
      </c>
      <c r="H527" s="4" t="s">
        <v>941</v>
      </c>
      <c r="I527" s="435">
        <v>100000</v>
      </c>
      <c r="J527" s="435">
        <v>100000</v>
      </c>
      <c r="K527" s="435">
        <v>7560</v>
      </c>
      <c r="L527" s="517"/>
    </row>
    <row r="528" spans="1:12" ht="12.75">
      <c r="A528" s="82"/>
      <c r="B528" s="82"/>
      <c r="C528" s="214"/>
      <c r="D528" s="270"/>
      <c r="E528" s="83"/>
      <c r="F528" s="200" t="s">
        <v>1218</v>
      </c>
      <c r="G528" s="524">
        <v>426800</v>
      </c>
      <c r="H528" s="4" t="s">
        <v>913</v>
      </c>
      <c r="I528" s="435">
        <v>80000</v>
      </c>
      <c r="J528" s="435">
        <v>80000</v>
      </c>
      <c r="K528" s="435">
        <v>1495</v>
      </c>
      <c r="L528" s="517"/>
    </row>
    <row r="529" spans="1:12" s="22" customFormat="1" ht="13.5">
      <c r="A529" s="88"/>
      <c r="B529" s="88"/>
      <c r="C529" s="214"/>
      <c r="D529" s="270"/>
      <c r="E529" s="89"/>
      <c r="F529" s="200" t="s">
        <v>1219</v>
      </c>
      <c r="G529" s="528" t="s">
        <v>381</v>
      </c>
      <c r="H529" s="23" t="s">
        <v>384</v>
      </c>
      <c r="I529" s="434">
        <f>I530</f>
        <v>1043000</v>
      </c>
      <c r="J529" s="434">
        <f>J530</f>
        <v>1043000</v>
      </c>
      <c r="K529" s="434">
        <f>K530</f>
        <v>520494.11</v>
      </c>
      <c r="L529" s="517"/>
    </row>
    <row r="530" spans="1:12" ht="12.75">
      <c r="A530" s="82"/>
      <c r="B530" s="82"/>
      <c r="C530" s="214"/>
      <c r="D530" s="270"/>
      <c r="E530" s="83"/>
      <c r="F530" s="200" t="s">
        <v>1220</v>
      </c>
      <c r="G530" s="524" t="s">
        <v>382</v>
      </c>
      <c r="H530" s="5" t="s">
        <v>383</v>
      </c>
      <c r="I530" s="435">
        <v>1043000</v>
      </c>
      <c r="J530" s="435">
        <v>1043000</v>
      </c>
      <c r="K530" s="435">
        <v>520494.11</v>
      </c>
      <c r="L530" s="517"/>
    </row>
    <row r="531" spans="1:12" s="22" customFormat="1" ht="13.5">
      <c r="A531" s="88"/>
      <c r="B531" s="88"/>
      <c r="C531" s="214"/>
      <c r="D531" s="270"/>
      <c r="E531" s="89"/>
      <c r="F531" s="200" t="s">
        <v>1221</v>
      </c>
      <c r="G531" s="528">
        <v>472000</v>
      </c>
      <c r="H531" s="23" t="s">
        <v>810</v>
      </c>
      <c r="I531" s="434">
        <f>I532</f>
        <v>70000</v>
      </c>
      <c r="J531" s="434">
        <f>J532</f>
        <v>70000</v>
      </c>
      <c r="K531" s="434">
        <f>K532</f>
        <v>0</v>
      </c>
      <c r="L531" s="517"/>
    </row>
    <row r="532" spans="1:12" ht="14.25" customHeight="1">
      <c r="A532" s="86"/>
      <c r="B532" s="86"/>
      <c r="C532" s="214"/>
      <c r="D532" s="270"/>
      <c r="E532" s="87"/>
      <c r="F532" s="200" t="s">
        <v>1222</v>
      </c>
      <c r="G532" s="524">
        <v>472900</v>
      </c>
      <c r="H532" s="5" t="s">
        <v>886</v>
      </c>
      <c r="I532" s="435">
        <v>70000</v>
      </c>
      <c r="J532" s="435">
        <v>70000</v>
      </c>
      <c r="K532" s="435">
        <v>0</v>
      </c>
      <c r="L532" s="517"/>
    </row>
    <row r="533" spans="1:12" s="22" customFormat="1" ht="13.5">
      <c r="A533" s="88"/>
      <c r="B533" s="88"/>
      <c r="C533" s="214"/>
      <c r="D533" s="270"/>
      <c r="E533" s="89"/>
      <c r="F533" s="200" t="s">
        <v>1223</v>
      </c>
      <c r="G533" s="54">
        <v>483000</v>
      </c>
      <c r="H533" s="23" t="s">
        <v>860</v>
      </c>
      <c r="I533" s="434">
        <f>I534</f>
        <v>30000</v>
      </c>
      <c r="J533" s="434">
        <f>J534</f>
        <v>30000</v>
      </c>
      <c r="K533" s="434">
        <f>K534</f>
        <v>0</v>
      </c>
      <c r="L533" s="517"/>
    </row>
    <row r="534" spans="1:12" ht="12.75">
      <c r="A534" s="86"/>
      <c r="B534" s="86"/>
      <c r="C534" s="214"/>
      <c r="D534" s="270"/>
      <c r="E534" s="87"/>
      <c r="F534" s="200" t="s">
        <v>1224</v>
      </c>
      <c r="G534" s="35">
        <v>483100</v>
      </c>
      <c r="H534" s="52" t="s">
        <v>860</v>
      </c>
      <c r="I534" s="435">
        <v>30000</v>
      </c>
      <c r="J534" s="435">
        <v>30000</v>
      </c>
      <c r="K534" s="435">
        <v>0</v>
      </c>
      <c r="L534" s="517"/>
    </row>
    <row r="535" spans="1:12" ht="13.5">
      <c r="A535" s="86"/>
      <c r="B535" s="86"/>
      <c r="C535" s="214"/>
      <c r="D535" s="270"/>
      <c r="E535" s="87"/>
      <c r="F535" s="200"/>
      <c r="G535" s="54" t="s">
        <v>363</v>
      </c>
      <c r="H535" s="239" t="s">
        <v>470</v>
      </c>
      <c r="I535" s="434">
        <f>I536</f>
        <v>1100000</v>
      </c>
      <c r="J535" s="434">
        <f>J536</f>
        <v>1100000</v>
      </c>
      <c r="K535" s="434">
        <f>K536</f>
        <v>0</v>
      </c>
      <c r="L535" s="517"/>
    </row>
    <row r="536" spans="1:12" ht="12.75">
      <c r="A536" s="86"/>
      <c r="B536" s="86"/>
      <c r="C536" s="214"/>
      <c r="D536" s="270"/>
      <c r="E536" s="87"/>
      <c r="F536" s="200"/>
      <c r="G536" s="35" t="s">
        <v>685</v>
      </c>
      <c r="H536" s="52" t="s">
        <v>471</v>
      </c>
      <c r="I536" s="435">
        <v>1100000</v>
      </c>
      <c r="J536" s="435">
        <v>1100000</v>
      </c>
      <c r="K536" s="435">
        <v>0</v>
      </c>
      <c r="L536" s="517"/>
    </row>
    <row r="537" spans="1:12" s="22" customFormat="1" ht="13.5">
      <c r="A537" s="88"/>
      <c r="B537" s="88"/>
      <c r="C537" s="214"/>
      <c r="D537" s="270"/>
      <c r="E537" s="89"/>
      <c r="F537" s="200" t="s">
        <v>1225</v>
      </c>
      <c r="G537" s="528">
        <v>512000</v>
      </c>
      <c r="H537" s="25" t="s">
        <v>796</v>
      </c>
      <c r="I537" s="434">
        <f>I538</f>
        <v>60000</v>
      </c>
      <c r="J537" s="434">
        <f>J538</f>
        <v>60000</v>
      </c>
      <c r="K537" s="434">
        <f>K538</f>
        <v>0</v>
      </c>
      <c r="L537" s="517"/>
    </row>
    <row r="538" spans="1:12" ht="12.75">
      <c r="A538" s="86"/>
      <c r="B538" s="86"/>
      <c r="C538" s="83"/>
      <c r="D538" s="82"/>
      <c r="E538" s="87"/>
      <c r="F538" s="200" t="s">
        <v>1226</v>
      </c>
      <c r="G538" s="524">
        <v>512600</v>
      </c>
      <c r="H538" s="6" t="s">
        <v>936</v>
      </c>
      <c r="I538" s="435">
        <v>60000</v>
      </c>
      <c r="J538" s="435">
        <v>60000</v>
      </c>
      <c r="K538" s="435">
        <v>0</v>
      </c>
      <c r="L538" s="517"/>
    </row>
    <row r="539" spans="1:12" s="22" customFormat="1" ht="13.5">
      <c r="A539" s="88"/>
      <c r="B539" s="88"/>
      <c r="C539" s="83"/>
      <c r="D539" s="82"/>
      <c r="E539" s="89"/>
      <c r="F539" s="200" t="s">
        <v>1227</v>
      </c>
      <c r="G539" s="528">
        <v>515000</v>
      </c>
      <c r="H539" s="25" t="s">
        <v>858</v>
      </c>
      <c r="I539" s="434">
        <f>I540</f>
        <v>80000</v>
      </c>
      <c r="J539" s="434">
        <f>J540</f>
        <v>80000</v>
      </c>
      <c r="K539" s="434">
        <f>K540</f>
        <v>0</v>
      </c>
      <c r="L539" s="517"/>
    </row>
    <row r="540" spans="1:12" ht="12.75">
      <c r="A540" s="86"/>
      <c r="B540" s="86"/>
      <c r="C540" s="83"/>
      <c r="D540" s="82"/>
      <c r="E540" s="87"/>
      <c r="F540" s="200" t="s">
        <v>1228</v>
      </c>
      <c r="G540" s="524">
        <v>515100</v>
      </c>
      <c r="H540" s="6" t="s">
        <v>858</v>
      </c>
      <c r="I540" s="435">
        <v>80000</v>
      </c>
      <c r="J540" s="435">
        <v>80000</v>
      </c>
      <c r="K540" s="435">
        <v>0</v>
      </c>
      <c r="L540" s="517"/>
    </row>
    <row r="541" spans="1:12" s="36" customFormat="1" ht="12.75">
      <c r="A541" s="82"/>
      <c r="B541" s="82"/>
      <c r="C541" s="83"/>
      <c r="D541" s="82"/>
      <c r="E541" s="83"/>
      <c r="F541" s="200"/>
      <c r="G541" s="524"/>
      <c r="H541" s="290"/>
      <c r="I541" s="435"/>
      <c r="J541" s="435"/>
      <c r="K541" s="435"/>
      <c r="L541" s="517"/>
    </row>
    <row r="542" spans="1:12" s="36" customFormat="1" ht="12.75">
      <c r="A542" s="82"/>
      <c r="B542" s="82"/>
      <c r="C542" s="83"/>
      <c r="D542" s="82"/>
      <c r="E542" s="83"/>
      <c r="F542" s="200"/>
      <c r="G542" s="524"/>
      <c r="H542" s="292" t="s">
        <v>636</v>
      </c>
      <c r="I542" s="436">
        <f>I510+I513+I518+I521+I524+I529+I531+I533+I535+I537+I539</f>
        <v>3968000</v>
      </c>
      <c r="J542" s="436">
        <f>J510+J513+J518+J521+J524+J529+J531+J533+J535+J537+J539</f>
        <v>3968000</v>
      </c>
      <c r="K542" s="603">
        <f>K539+K537+K535+K533+K531+K529+K524+K521+K518+K513+K510</f>
        <v>728392.37</v>
      </c>
      <c r="L542" s="517"/>
    </row>
    <row r="543" spans="1:12" s="36" customFormat="1" ht="12.75">
      <c r="A543" s="82"/>
      <c r="B543" s="82"/>
      <c r="C543" s="83"/>
      <c r="D543" s="82"/>
      <c r="E543" s="83"/>
      <c r="F543" s="200"/>
      <c r="G543" s="524"/>
      <c r="H543" s="292"/>
      <c r="I543" s="436"/>
      <c r="J543" s="436"/>
      <c r="K543" s="436"/>
      <c r="L543" s="517"/>
    </row>
    <row r="544" spans="1:12" s="36" customFormat="1" ht="12.75">
      <c r="A544" s="82"/>
      <c r="B544" s="82"/>
      <c r="C544" s="83"/>
      <c r="D544" s="275" t="s">
        <v>762</v>
      </c>
      <c r="E544" s="83"/>
      <c r="F544" s="200"/>
      <c r="G544" s="524"/>
      <c r="H544" s="244" t="s">
        <v>472</v>
      </c>
      <c r="I544" s="436"/>
      <c r="J544" s="436"/>
      <c r="K544" s="436"/>
      <c r="L544" s="517"/>
    </row>
    <row r="545" spans="1:12" s="22" customFormat="1" ht="13.5">
      <c r="A545" s="88"/>
      <c r="B545" s="88"/>
      <c r="C545" s="83"/>
      <c r="D545" s="270"/>
      <c r="E545" s="89">
        <v>820</v>
      </c>
      <c r="F545" s="200"/>
      <c r="G545" s="534"/>
      <c r="H545" s="91" t="s">
        <v>250</v>
      </c>
      <c r="I545" s="449"/>
      <c r="J545" s="449"/>
      <c r="K545" s="449"/>
      <c r="L545" s="517"/>
    </row>
    <row r="546" spans="1:12" s="22" customFormat="1" ht="13.5">
      <c r="A546" s="88"/>
      <c r="B546" s="88"/>
      <c r="C546" s="83"/>
      <c r="D546" s="270"/>
      <c r="E546" s="89"/>
      <c r="F546" s="200" t="s">
        <v>1229</v>
      </c>
      <c r="G546" s="528">
        <v>424000</v>
      </c>
      <c r="H546" s="20" t="s">
        <v>800</v>
      </c>
      <c r="I546" s="434">
        <f>I547</f>
        <v>300000</v>
      </c>
      <c r="J546" s="434">
        <f>J547</f>
        <v>300000</v>
      </c>
      <c r="K546" s="434">
        <f>K547+K548</f>
        <v>0</v>
      </c>
      <c r="L546" s="517"/>
    </row>
    <row r="547" spans="1:12" ht="12.75">
      <c r="A547" s="86"/>
      <c r="B547" s="86"/>
      <c r="C547" s="83"/>
      <c r="D547" s="270"/>
      <c r="E547" s="87"/>
      <c r="F547" s="200" t="s">
        <v>1230</v>
      </c>
      <c r="G547" s="524">
        <v>424200</v>
      </c>
      <c r="H547" s="4" t="s">
        <v>907</v>
      </c>
      <c r="I547" s="435">
        <v>300000</v>
      </c>
      <c r="J547" s="435">
        <v>300000</v>
      </c>
      <c r="K547" s="435">
        <v>0</v>
      </c>
      <c r="L547" s="517"/>
    </row>
    <row r="548" spans="1:12" s="36" customFormat="1" ht="12.75">
      <c r="A548" s="82"/>
      <c r="B548" s="82"/>
      <c r="C548" s="83"/>
      <c r="D548" s="270"/>
      <c r="E548" s="83"/>
      <c r="F548" s="200"/>
      <c r="G548" s="524"/>
      <c r="H548" s="290"/>
      <c r="I548" s="435"/>
      <c r="J548" s="435"/>
      <c r="K548" s="435"/>
      <c r="L548" s="517"/>
    </row>
    <row r="549" spans="1:12" s="36" customFormat="1" ht="12.75">
      <c r="A549" s="82"/>
      <c r="B549" s="82"/>
      <c r="C549" s="83"/>
      <c r="D549" s="270"/>
      <c r="E549" s="83"/>
      <c r="F549" s="200"/>
      <c r="G549" s="524"/>
      <c r="H549" s="292" t="s">
        <v>641</v>
      </c>
      <c r="I549" s="436">
        <f>I546</f>
        <v>300000</v>
      </c>
      <c r="J549" s="436">
        <f>J546</f>
        <v>300000</v>
      </c>
      <c r="K549" s="603">
        <f>K546</f>
        <v>0</v>
      </c>
      <c r="L549" s="517"/>
    </row>
    <row r="550" spans="1:12" s="36" customFormat="1" ht="12.75">
      <c r="A550" s="82"/>
      <c r="B550" s="82"/>
      <c r="C550" s="83"/>
      <c r="D550" s="270"/>
      <c r="E550" s="83"/>
      <c r="F550" s="200"/>
      <c r="G550" s="524"/>
      <c r="H550" s="292"/>
      <c r="I550" s="436"/>
      <c r="J550" s="436"/>
      <c r="K550" s="436"/>
      <c r="L550" s="517"/>
    </row>
    <row r="551" spans="1:12" s="55" customFormat="1" ht="12.75">
      <c r="A551" s="88"/>
      <c r="B551" s="88"/>
      <c r="C551" s="83"/>
      <c r="D551" s="270" t="s">
        <v>643</v>
      </c>
      <c r="E551" s="89"/>
      <c r="F551" s="200"/>
      <c r="G551" s="529"/>
      <c r="H551" s="244" t="s">
        <v>473</v>
      </c>
      <c r="I551" s="436"/>
      <c r="J551" s="436"/>
      <c r="K551" s="436"/>
      <c r="L551" s="517"/>
    </row>
    <row r="552" spans="1:12" s="22" customFormat="1" ht="13.5">
      <c r="A552" s="88"/>
      <c r="B552" s="88"/>
      <c r="C552" s="83"/>
      <c r="D552" s="270"/>
      <c r="E552" s="89">
        <v>820</v>
      </c>
      <c r="F552" s="200"/>
      <c r="G552" s="534"/>
      <c r="H552" s="91" t="s">
        <v>250</v>
      </c>
      <c r="I552" s="449"/>
      <c r="J552" s="449"/>
      <c r="K552" s="449"/>
      <c r="L552" s="517"/>
    </row>
    <row r="553" spans="1:12" s="22" customFormat="1" ht="13.5">
      <c r="A553" s="88"/>
      <c r="B553" s="88"/>
      <c r="C553" s="83"/>
      <c r="D553" s="270"/>
      <c r="E553" s="89"/>
      <c r="F553" s="200" t="s">
        <v>1231</v>
      </c>
      <c r="G553" s="528">
        <v>424000</v>
      </c>
      <c r="H553" s="20" t="s">
        <v>800</v>
      </c>
      <c r="I553" s="434">
        <f>I554</f>
        <v>150000</v>
      </c>
      <c r="J553" s="434">
        <f>J554</f>
        <v>150000</v>
      </c>
      <c r="K553" s="434">
        <f>K554</f>
        <v>0</v>
      </c>
      <c r="L553" s="517"/>
    </row>
    <row r="554" spans="1:12" ht="12.75">
      <c r="A554" s="86"/>
      <c r="B554" s="86"/>
      <c r="C554" s="83"/>
      <c r="D554" s="270"/>
      <c r="E554" s="87"/>
      <c r="F554" s="200" t="s">
        <v>328</v>
      </c>
      <c r="G554" s="524">
        <v>424200</v>
      </c>
      <c r="H554" s="4" t="s">
        <v>907</v>
      </c>
      <c r="I554" s="435">
        <v>150000</v>
      </c>
      <c r="J554" s="435">
        <v>150000</v>
      </c>
      <c r="K554" s="435">
        <v>0</v>
      </c>
      <c r="L554" s="517"/>
    </row>
    <row r="555" spans="1:12" s="36" customFormat="1" ht="12.75">
      <c r="A555" s="82"/>
      <c r="B555" s="82"/>
      <c r="C555" s="83"/>
      <c r="D555" s="270"/>
      <c r="E555" s="83"/>
      <c r="F555" s="200"/>
      <c r="G555" s="524"/>
      <c r="H555" s="290"/>
      <c r="I555" s="435"/>
      <c r="J555" s="435"/>
      <c r="K555" s="435"/>
      <c r="L555" s="517"/>
    </row>
    <row r="556" spans="1:12" s="36" customFormat="1" ht="12.75">
      <c r="A556" s="82"/>
      <c r="B556" s="82"/>
      <c r="C556" s="83"/>
      <c r="D556" s="270"/>
      <c r="E556" s="83"/>
      <c r="F556" s="200"/>
      <c r="G556" s="524"/>
      <c r="H556" s="292" t="s">
        <v>642</v>
      </c>
      <c r="I556" s="436">
        <f>I553</f>
        <v>150000</v>
      </c>
      <c r="J556" s="436">
        <f>J553</f>
        <v>150000</v>
      </c>
      <c r="K556" s="603">
        <f>K553</f>
        <v>0</v>
      </c>
      <c r="L556" s="517"/>
    </row>
    <row r="557" spans="1:12" s="36" customFormat="1" ht="12.75">
      <c r="A557" s="82"/>
      <c r="B557" s="82"/>
      <c r="C557" s="83"/>
      <c r="D557" s="270"/>
      <c r="E557" s="83"/>
      <c r="F557" s="200"/>
      <c r="G557" s="524"/>
      <c r="H557" s="292"/>
      <c r="I557" s="436"/>
      <c r="J557" s="436"/>
      <c r="K557" s="436"/>
      <c r="L557" s="517"/>
    </row>
    <row r="558" spans="1:12" s="36" customFormat="1" ht="12.75">
      <c r="A558" s="82"/>
      <c r="B558" s="82"/>
      <c r="C558" s="83"/>
      <c r="D558" s="270"/>
      <c r="E558" s="83"/>
      <c r="F558" s="200"/>
      <c r="G558" s="524"/>
      <c r="H558" s="290"/>
      <c r="I558" s="435"/>
      <c r="J558" s="435"/>
      <c r="K558" s="435"/>
      <c r="L558" s="517"/>
    </row>
    <row r="559" spans="1:12" s="36" customFormat="1" ht="12.75">
      <c r="A559" s="474"/>
      <c r="B559" s="474"/>
      <c r="C559" s="477"/>
      <c r="D559" s="476"/>
      <c r="E559" s="477"/>
      <c r="F559" s="478"/>
      <c r="G559" s="483"/>
      <c r="H559" s="484" t="s">
        <v>11</v>
      </c>
      <c r="I559" s="481">
        <f>I506+I542+I549+I556</f>
        <v>22551000</v>
      </c>
      <c r="J559" s="481">
        <f>J506+J542+J549+J556</f>
        <v>22551000</v>
      </c>
      <c r="K559" s="603">
        <f>K506+K542+K549+K556</f>
        <v>8527079.149999999</v>
      </c>
      <c r="L559" s="517"/>
    </row>
    <row r="560" spans="1:12" s="36" customFormat="1" ht="13.5" thickBot="1">
      <c r="A560" s="294"/>
      <c r="B560" s="294"/>
      <c r="C560" s="297"/>
      <c r="D560" s="296"/>
      <c r="E560" s="297"/>
      <c r="F560" s="298"/>
      <c r="G560" s="299"/>
      <c r="H560" s="304"/>
      <c r="I560" s="440"/>
      <c r="J560" s="440"/>
      <c r="K560" s="440"/>
      <c r="L560" s="517"/>
    </row>
    <row r="561" spans="1:12" s="22" customFormat="1" ht="17.25" customHeight="1" thickBot="1" thickTop="1">
      <c r="A561" s="104"/>
      <c r="B561" s="104">
        <v>16</v>
      </c>
      <c r="C561" s="144" t="s">
        <v>184</v>
      </c>
      <c r="D561" s="267"/>
      <c r="E561" s="105"/>
      <c r="F561" s="198"/>
      <c r="G561" s="525"/>
      <c r="H561" s="106" t="s">
        <v>942</v>
      </c>
      <c r="I561" s="457"/>
      <c r="J561" s="457"/>
      <c r="K561" s="457"/>
      <c r="L561" s="517"/>
    </row>
    <row r="562" spans="1:12" s="22" customFormat="1" ht="12.75" customHeight="1" thickTop="1">
      <c r="A562" s="100"/>
      <c r="B562" s="283"/>
      <c r="C562" s="314"/>
      <c r="D562" s="285" t="s">
        <v>648</v>
      </c>
      <c r="E562" s="286"/>
      <c r="F562" s="301"/>
      <c r="G562" s="526"/>
      <c r="H562" s="288" t="s">
        <v>646</v>
      </c>
      <c r="I562" s="431"/>
      <c r="J562" s="431"/>
      <c r="K562" s="431"/>
      <c r="L562" s="517"/>
    </row>
    <row r="563" spans="1:12" s="22" customFormat="1" ht="16.5" customHeight="1">
      <c r="A563" s="88"/>
      <c r="B563" s="88"/>
      <c r="C563" s="83"/>
      <c r="D563" s="274" t="s">
        <v>649</v>
      </c>
      <c r="E563" s="89"/>
      <c r="F563" s="200"/>
      <c r="G563" s="527"/>
      <c r="H563" s="125" t="s">
        <v>647</v>
      </c>
      <c r="I563" s="432"/>
      <c r="J563" s="432"/>
      <c r="K563" s="432"/>
      <c r="L563" s="517"/>
    </row>
    <row r="564" spans="1:12" s="22" customFormat="1" ht="13.5">
      <c r="A564" s="88"/>
      <c r="B564" s="88"/>
      <c r="C564" s="83"/>
      <c r="D564" s="270"/>
      <c r="E564" s="89">
        <v>820</v>
      </c>
      <c r="F564" s="200"/>
      <c r="G564" s="534"/>
      <c r="H564" s="91" t="s">
        <v>250</v>
      </c>
      <c r="I564" s="449"/>
      <c r="J564" s="449"/>
      <c r="K564" s="449"/>
      <c r="L564" s="517"/>
    </row>
    <row r="565" spans="1:12" s="22" customFormat="1" ht="13.5">
      <c r="A565" s="88"/>
      <c r="B565" s="88"/>
      <c r="C565" s="83"/>
      <c r="D565" s="270"/>
      <c r="E565" s="89"/>
      <c r="F565" s="200" t="s">
        <v>1232</v>
      </c>
      <c r="G565" s="54">
        <v>411000</v>
      </c>
      <c r="H565" s="20" t="s">
        <v>866</v>
      </c>
      <c r="I565" s="434">
        <f>I566</f>
        <v>10230000</v>
      </c>
      <c r="J565" s="434">
        <f>J566</f>
        <v>10230000</v>
      </c>
      <c r="K565" s="434">
        <f>K566</f>
        <v>4963220.72</v>
      </c>
      <c r="L565" s="517"/>
    </row>
    <row r="566" spans="1:12" ht="12.75">
      <c r="A566" s="86"/>
      <c r="B566" s="86"/>
      <c r="C566" s="83"/>
      <c r="D566" s="270"/>
      <c r="E566" s="87"/>
      <c r="F566" s="200" t="s">
        <v>715</v>
      </c>
      <c r="G566" s="35">
        <v>411100</v>
      </c>
      <c r="H566" s="4" t="s">
        <v>878</v>
      </c>
      <c r="I566" s="435">
        <v>10230000</v>
      </c>
      <c r="J566" s="435">
        <v>10230000</v>
      </c>
      <c r="K566" s="435">
        <v>4963220.72</v>
      </c>
      <c r="L566" s="517"/>
    </row>
    <row r="567" spans="1:12" s="22" customFormat="1" ht="13.5">
      <c r="A567" s="88"/>
      <c r="B567" s="88"/>
      <c r="C567" s="83"/>
      <c r="D567" s="270"/>
      <c r="E567" s="89"/>
      <c r="F567" s="200" t="s">
        <v>1233</v>
      </c>
      <c r="G567" s="54">
        <v>412000</v>
      </c>
      <c r="H567" s="20" t="s">
        <v>801</v>
      </c>
      <c r="I567" s="434">
        <f>I568+I569+I570</f>
        <v>1837000</v>
      </c>
      <c r="J567" s="434">
        <f>J568+J569+J570</f>
        <v>1837000</v>
      </c>
      <c r="K567" s="434">
        <f>K568+K569+K570</f>
        <v>888416.59</v>
      </c>
      <c r="L567" s="517"/>
    </row>
    <row r="568" spans="1:12" ht="12.75">
      <c r="A568" s="86"/>
      <c r="B568" s="86"/>
      <c r="C568" s="83"/>
      <c r="D568" s="270"/>
      <c r="E568" s="87"/>
      <c r="F568" s="200" t="s">
        <v>1234</v>
      </c>
      <c r="G568" s="35">
        <v>412100</v>
      </c>
      <c r="H568" s="4" t="s">
        <v>879</v>
      </c>
      <c r="I568" s="435">
        <v>1230000</v>
      </c>
      <c r="J568" s="435">
        <v>1230000</v>
      </c>
      <c r="K568" s="435">
        <v>595586.55</v>
      </c>
      <c r="L568" s="517"/>
    </row>
    <row r="569" spans="1:12" ht="12.75">
      <c r="A569" s="82"/>
      <c r="B569" s="82"/>
      <c r="C569" s="83"/>
      <c r="D569" s="270"/>
      <c r="E569" s="83"/>
      <c r="F569" s="200" t="s">
        <v>1235</v>
      </c>
      <c r="G569" s="35">
        <v>412200</v>
      </c>
      <c r="H569" s="4" t="s">
        <v>880</v>
      </c>
      <c r="I569" s="435">
        <v>530000</v>
      </c>
      <c r="J569" s="435">
        <v>530000</v>
      </c>
      <c r="K569" s="435">
        <v>255605.84</v>
      </c>
      <c r="L569" s="517"/>
    </row>
    <row r="570" spans="1:12" ht="12.75">
      <c r="A570" s="82"/>
      <c r="B570" s="82"/>
      <c r="C570" s="83"/>
      <c r="D570" s="270"/>
      <c r="E570" s="83"/>
      <c r="F570" s="200" t="s">
        <v>1236</v>
      </c>
      <c r="G570" s="35">
        <v>412300</v>
      </c>
      <c r="H570" s="4" t="s">
        <v>881</v>
      </c>
      <c r="I570" s="435">
        <v>77000</v>
      </c>
      <c r="J570" s="435">
        <v>77000</v>
      </c>
      <c r="K570" s="435">
        <v>37224.2</v>
      </c>
      <c r="L570" s="517"/>
    </row>
    <row r="571" spans="1:12" s="24" customFormat="1" ht="13.5">
      <c r="A571" s="84"/>
      <c r="B571" s="84"/>
      <c r="C571" s="215"/>
      <c r="D571" s="208"/>
      <c r="E571" s="85"/>
      <c r="F571" s="200" t="s">
        <v>710</v>
      </c>
      <c r="G571" s="54">
        <v>414000</v>
      </c>
      <c r="H571" s="20" t="s">
        <v>792</v>
      </c>
      <c r="I571" s="434">
        <f>I572</f>
        <v>2366000</v>
      </c>
      <c r="J571" s="434">
        <f>J572</f>
        <v>2366000</v>
      </c>
      <c r="K571" s="434">
        <f>K572</f>
        <v>898758.4</v>
      </c>
      <c r="L571" s="517"/>
    </row>
    <row r="572" spans="1:12" ht="12.75">
      <c r="A572" s="82"/>
      <c r="B572" s="82"/>
      <c r="C572" s="214"/>
      <c r="D572" s="270"/>
      <c r="E572" s="83"/>
      <c r="F572" s="200" t="s">
        <v>709</v>
      </c>
      <c r="G572" s="35">
        <v>414300</v>
      </c>
      <c r="H572" s="4" t="s">
        <v>893</v>
      </c>
      <c r="I572" s="435">
        <v>2366000</v>
      </c>
      <c r="J572" s="435">
        <v>2366000</v>
      </c>
      <c r="K572" s="435">
        <v>898758.4</v>
      </c>
      <c r="L572" s="517"/>
    </row>
    <row r="573" spans="1:12" s="22" customFormat="1" ht="13.5">
      <c r="A573" s="88"/>
      <c r="B573" s="88"/>
      <c r="C573" s="214"/>
      <c r="D573" s="270"/>
      <c r="E573" s="89"/>
      <c r="F573" s="200" t="s">
        <v>712</v>
      </c>
      <c r="G573" s="54">
        <v>415000</v>
      </c>
      <c r="H573" s="239" t="s">
        <v>852</v>
      </c>
      <c r="I573" s="434">
        <f>I574</f>
        <v>630000</v>
      </c>
      <c r="J573" s="434">
        <f>J574</f>
        <v>630000</v>
      </c>
      <c r="K573" s="434">
        <f>K574</f>
        <v>244261.31</v>
      </c>
      <c r="L573" s="517"/>
    </row>
    <row r="574" spans="1:12" ht="12.75">
      <c r="A574" s="86"/>
      <c r="B574" s="86"/>
      <c r="C574" s="214"/>
      <c r="D574" s="270"/>
      <c r="E574" s="87"/>
      <c r="F574" s="200" t="s">
        <v>1237</v>
      </c>
      <c r="G574" s="35">
        <v>415100</v>
      </c>
      <c r="H574" s="52" t="s">
        <v>852</v>
      </c>
      <c r="I574" s="435">
        <v>630000</v>
      </c>
      <c r="J574" s="435">
        <v>630000</v>
      </c>
      <c r="K574" s="435">
        <v>244261.31</v>
      </c>
      <c r="L574" s="517"/>
    </row>
    <row r="575" spans="1:12" s="22" customFormat="1" ht="13.5">
      <c r="A575" s="88"/>
      <c r="B575" s="88"/>
      <c r="C575" s="214"/>
      <c r="D575" s="270"/>
      <c r="E575" s="89"/>
      <c r="F575" s="200" t="s">
        <v>1238</v>
      </c>
      <c r="G575" s="54">
        <v>416000</v>
      </c>
      <c r="H575" s="20" t="s">
        <v>853</v>
      </c>
      <c r="I575" s="434">
        <f>I576</f>
        <v>625000</v>
      </c>
      <c r="J575" s="434">
        <f>J576</f>
        <v>625000</v>
      </c>
      <c r="K575" s="434">
        <f>K576</f>
        <v>134146.2</v>
      </c>
      <c r="L575" s="517"/>
    </row>
    <row r="576" spans="1:12" ht="12.75">
      <c r="A576" s="86"/>
      <c r="B576" s="86"/>
      <c r="C576" s="214"/>
      <c r="D576" s="270"/>
      <c r="E576" s="87"/>
      <c r="F576" s="200" t="s">
        <v>1239</v>
      </c>
      <c r="G576" s="35">
        <v>416100</v>
      </c>
      <c r="H576" s="4" t="s">
        <v>853</v>
      </c>
      <c r="I576" s="435">
        <v>625000</v>
      </c>
      <c r="J576" s="435">
        <v>625000</v>
      </c>
      <c r="K576" s="435">
        <v>134146.2</v>
      </c>
      <c r="L576" s="517"/>
    </row>
    <row r="577" spans="1:12" s="22" customFormat="1" ht="13.5">
      <c r="A577" s="88"/>
      <c r="B577" s="88"/>
      <c r="C577" s="214"/>
      <c r="D577" s="270"/>
      <c r="E577" s="89"/>
      <c r="F577" s="200" t="s">
        <v>1240</v>
      </c>
      <c r="G577" s="54">
        <v>421000</v>
      </c>
      <c r="H577" s="20" t="s">
        <v>799</v>
      </c>
      <c r="I577" s="434">
        <f>I578+I579+I580+I581+I582+I583</f>
        <v>1780000</v>
      </c>
      <c r="J577" s="434">
        <f>J578+J579+J580+J581+J582+J583</f>
        <v>1780000</v>
      </c>
      <c r="K577" s="434">
        <f>K578+K579+K580+K581+K582+K583</f>
        <v>353296.92</v>
      </c>
      <c r="L577" s="517"/>
    </row>
    <row r="578" spans="1:12" ht="12.75">
      <c r="A578" s="86"/>
      <c r="B578" s="86"/>
      <c r="C578" s="214"/>
      <c r="D578" s="270"/>
      <c r="E578" s="87"/>
      <c r="F578" s="200" t="s">
        <v>1241</v>
      </c>
      <c r="G578" s="35">
        <v>421100</v>
      </c>
      <c r="H578" s="4" t="s">
        <v>894</v>
      </c>
      <c r="I578" s="435">
        <v>50000</v>
      </c>
      <c r="J578" s="435">
        <v>50000</v>
      </c>
      <c r="K578" s="435">
        <v>18614.69</v>
      </c>
      <c r="L578" s="517"/>
    </row>
    <row r="579" spans="1:13" ht="12.75">
      <c r="A579" s="82"/>
      <c r="B579" s="82"/>
      <c r="C579" s="214"/>
      <c r="D579" s="270"/>
      <c r="E579" s="83"/>
      <c r="F579" s="200" t="s">
        <v>1242</v>
      </c>
      <c r="G579" s="35">
        <v>421200</v>
      </c>
      <c r="H579" s="4" t="s">
        <v>920</v>
      </c>
      <c r="I579" s="435">
        <v>1500000</v>
      </c>
      <c r="J579" s="435">
        <v>1500000</v>
      </c>
      <c r="K579" s="435">
        <v>240669.88</v>
      </c>
      <c r="L579" s="517"/>
      <c r="M579" s="514"/>
    </row>
    <row r="580" spans="1:12" ht="12.75">
      <c r="A580" s="82"/>
      <c r="B580" s="82"/>
      <c r="C580" s="214"/>
      <c r="D580" s="270"/>
      <c r="E580" s="83"/>
      <c r="F580" s="200" t="s">
        <v>1243</v>
      </c>
      <c r="G580" s="524">
        <v>421300</v>
      </c>
      <c r="H580" s="5" t="s">
        <v>896</v>
      </c>
      <c r="I580" s="435">
        <v>100000</v>
      </c>
      <c r="J580" s="435">
        <v>100000</v>
      </c>
      <c r="K580" s="435">
        <v>46230.6</v>
      </c>
      <c r="L580" s="517"/>
    </row>
    <row r="581" spans="1:12" ht="12.75">
      <c r="A581" s="82"/>
      <c r="B581" s="82"/>
      <c r="C581" s="214"/>
      <c r="D581" s="270"/>
      <c r="E581" s="83"/>
      <c r="F581" s="200" t="s">
        <v>1244</v>
      </c>
      <c r="G581" s="35">
        <v>421400</v>
      </c>
      <c r="H581" s="5" t="s">
        <v>883</v>
      </c>
      <c r="I581" s="435">
        <v>70000</v>
      </c>
      <c r="J581" s="435">
        <v>70000</v>
      </c>
      <c r="K581" s="435">
        <v>37221.75</v>
      </c>
      <c r="L581" s="517"/>
    </row>
    <row r="582" spans="1:12" ht="12.75">
      <c r="A582" s="82"/>
      <c r="B582" s="82"/>
      <c r="C582" s="214"/>
      <c r="D582" s="270"/>
      <c r="E582" s="83"/>
      <c r="F582" s="200" t="s">
        <v>1245</v>
      </c>
      <c r="G582" s="35">
        <v>421500</v>
      </c>
      <c r="H582" s="4" t="s">
        <v>897</v>
      </c>
      <c r="I582" s="435">
        <v>40000</v>
      </c>
      <c r="J582" s="435">
        <v>40000</v>
      </c>
      <c r="K582" s="435">
        <v>10560</v>
      </c>
      <c r="L582" s="517"/>
    </row>
    <row r="583" spans="1:12" ht="12.75">
      <c r="A583" s="82"/>
      <c r="B583" s="82"/>
      <c r="C583" s="214"/>
      <c r="D583" s="270"/>
      <c r="E583" s="83"/>
      <c r="F583" s="200"/>
      <c r="G583" s="35" t="s">
        <v>576</v>
      </c>
      <c r="H583" s="4" t="s">
        <v>474</v>
      </c>
      <c r="I583" s="435">
        <v>20000</v>
      </c>
      <c r="J583" s="435">
        <v>20000</v>
      </c>
      <c r="K583" s="435">
        <v>0</v>
      </c>
      <c r="L583" s="517"/>
    </row>
    <row r="584" spans="1:12" ht="12.75">
      <c r="A584" s="82"/>
      <c r="B584" s="82"/>
      <c r="C584" s="214"/>
      <c r="D584" s="270"/>
      <c r="E584" s="83"/>
      <c r="F584" s="200"/>
      <c r="G584" s="48"/>
      <c r="H584" s="33"/>
      <c r="I584" s="435"/>
      <c r="J584" s="435"/>
      <c r="K584" s="435"/>
      <c r="L584" s="517"/>
    </row>
    <row r="585" spans="1:12" s="36" customFormat="1" ht="12.75">
      <c r="A585" s="82"/>
      <c r="B585" s="82"/>
      <c r="C585" s="214"/>
      <c r="D585" s="270"/>
      <c r="E585" s="83"/>
      <c r="F585" s="200"/>
      <c r="G585" s="524"/>
      <c r="H585" s="292" t="s">
        <v>651</v>
      </c>
      <c r="I585" s="665">
        <f>I565+I567+I571+I573+I575+I577</f>
        <v>17468000</v>
      </c>
      <c r="J585" s="665">
        <f>J577+J575+J573+J571+J567+J565</f>
        <v>17468000</v>
      </c>
      <c r="K585" s="603">
        <f>K565+K567+K571+K573+K575+K577</f>
        <v>7482100.14</v>
      </c>
      <c r="L585" s="517"/>
    </row>
    <row r="586" spans="1:12" ht="12.75">
      <c r="A586" s="82"/>
      <c r="B586" s="82"/>
      <c r="C586" s="214"/>
      <c r="D586" s="270"/>
      <c r="E586" s="83"/>
      <c r="F586" s="200"/>
      <c r="G586" s="35"/>
      <c r="H586" s="4"/>
      <c r="I586" s="435"/>
      <c r="J586" s="435"/>
      <c r="K586" s="435"/>
      <c r="L586" s="517"/>
    </row>
    <row r="587" spans="1:12" s="22" customFormat="1" ht="16.5" customHeight="1">
      <c r="A587" s="88"/>
      <c r="B587" s="88"/>
      <c r="C587" s="214"/>
      <c r="D587" s="274" t="s">
        <v>760</v>
      </c>
      <c r="E587" s="89"/>
      <c r="F587" s="200"/>
      <c r="G587" s="527"/>
      <c r="H587" s="125" t="s">
        <v>761</v>
      </c>
      <c r="I587" s="432"/>
      <c r="J587" s="432"/>
      <c r="K587" s="432"/>
      <c r="L587" s="517"/>
    </row>
    <row r="588" spans="1:12" s="22" customFormat="1" ht="13.5">
      <c r="A588" s="88"/>
      <c r="B588" s="88"/>
      <c r="C588" s="214"/>
      <c r="D588" s="270"/>
      <c r="E588" s="89">
        <v>820</v>
      </c>
      <c r="F588" s="200"/>
      <c r="G588" s="534"/>
      <c r="H588" s="91" t="s">
        <v>250</v>
      </c>
      <c r="I588" s="449"/>
      <c r="J588" s="449"/>
      <c r="K588" s="449"/>
      <c r="L588" s="517"/>
    </row>
    <row r="589" spans="1:12" s="22" customFormat="1" ht="13.5">
      <c r="A589" s="88"/>
      <c r="B589" s="88"/>
      <c r="C589" s="214"/>
      <c r="D589" s="270"/>
      <c r="E589" s="89"/>
      <c r="F589" s="200" t="s">
        <v>1246</v>
      </c>
      <c r="G589" s="54">
        <v>422000</v>
      </c>
      <c r="H589" s="20" t="s">
        <v>793</v>
      </c>
      <c r="I589" s="434">
        <f>I590</f>
        <v>60000</v>
      </c>
      <c r="J589" s="434">
        <f>J590</f>
        <v>60000</v>
      </c>
      <c r="K589" s="434">
        <f>K590</f>
        <v>27000</v>
      </c>
      <c r="L589" s="517"/>
    </row>
    <row r="590" spans="1:12" ht="12.75">
      <c r="A590" s="82"/>
      <c r="B590" s="82"/>
      <c r="C590" s="214"/>
      <c r="D590" s="270"/>
      <c r="E590" s="83"/>
      <c r="F590" s="200" t="s">
        <v>1247</v>
      </c>
      <c r="G590" s="524">
        <v>422300</v>
      </c>
      <c r="H590" s="5" t="s">
        <v>943</v>
      </c>
      <c r="I590" s="435">
        <v>60000</v>
      </c>
      <c r="J590" s="435">
        <v>60000</v>
      </c>
      <c r="K590" s="435">
        <v>27000</v>
      </c>
      <c r="L590" s="517"/>
    </row>
    <row r="591" spans="1:12" s="22" customFormat="1" ht="13.5">
      <c r="A591" s="88"/>
      <c r="B591" s="88"/>
      <c r="C591" s="214"/>
      <c r="D591" s="270"/>
      <c r="E591" s="89"/>
      <c r="F591" s="200" t="s">
        <v>1248</v>
      </c>
      <c r="G591" s="54">
        <v>423000</v>
      </c>
      <c r="H591" s="20" t="s">
        <v>794</v>
      </c>
      <c r="I591" s="434">
        <f>I592+I593+I594+I595+I596</f>
        <v>270000</v>
      </c>
      <c r="J591" s="434">
        <f>J592+J593+J594+J595+J596</f>
        <v>270000</v>
      </c>
      <c r="K591" s="434">
        <f>K592+K593+K594+K595+K596</f>
        <v>70749</v>
      </c>
      <c r="L591" s="517"/>
    </row>
    <row r="592" spans="1:12" ht="12.75">
      <c r="A592" s="86"/>
      <c r="B592" s="86"/>
      <c r="C592" s="214"/>
      <c r="D592" s="270"/>
      <c r="E592" s="87"/>
      <c r="F592" s="200" t="s">
        <v>708</v>
      </c>
      <c r="G592" s="35">
        <v>423200</v>
      </c>
      <c r="H592" s="4" t="s">
        <v>901</v>
      </c>
      <c r="I592" s="435">
        <v>35000</v>
      </c>
      <c r="J592" s="435">
        <v>35000</v>
      </c>
      <c r="K592" s="435">
        <v>23100</v>
      </c>
      <c r="L592" s="517"/>
    </row>
    <row r="593" spans="1:12" s="36" customFormat="1" ht="12.75">
      <c r="A593" s="82"/>
      <c r="B593" s="82"/>
      <c r="C593" s="214"/>
      <c r="D593" s="270"/>
      <c r="E593" s="83"/>
      <c r="F593" s="200" t="s">
        <v>1249</v>
      </c>
      <c r="G593" s="524">
        <v>423300</v>
      </c>
      <c r="H593" s="5" t="s">
        <v>902</v>
      </c>
      <c r="I593" s="435">
        <v>80000</v>
      </c>
      <c r="J593" s="435">
        <v>80000</v>
      </c>
      <c r="K593" s="435">
        <v>36800</v>
      </c>
      <c r="L593" s="517"/>
    </row>
    <row r="594" spans="1:12" ht="12.75">
      <c r="A594" s="82"/>
      <c r="B594" s="82"/>
      <c r="C594" s="214"/>
      <c r="D594" s="270"/>
      <c r="E594" s="83"/>
      <c r="F594" s="200" t="s">
        <v>1250</v>
      </c>
      <c r="G594" s="524">
        <v>423400</v>
      </c>
      <c r="H594" s="4" t="s">
        <v>884</v>
      </c>
      <c r="I594" s="435">
        <v>100000</v>
      </c>
      <c r="J594" s="435">
        <v>100000</v>
      </c>
      <c r="K594" s="435">
        <v>0</v>
      </c>
      <c r="L594" s="517"/>
    </row>
    <row r="595" spans="1:12" ht="12.75">
      <c r="A595" s="82"/>
      <c r="B595" s="82"/>
      <c r="C595" s="214"/>
      <c r="D595" s="270"/>
      <c r="E595" s="83"/>
      <c r="F595" s="200" t="s">
        <v>1251</v>
      </c>
      <c r="G595" s="524" t="s">
        <v>370</v>
      </c>
      <c r="H595" s="4" t="s">
        <v>903</v>
      </c>
      <c r="I595" s="435">
        <v>15000</v>
      </c>
      <c r="J595" s="435">
        <v>15000</v>
      </c>
      <c r="K595" s="435">
        <v>0</v>
      </c>
      <c r="L595" s="517"/>
    </row>
    <row r="596" spans="1:12" ht="12.75">
      <c r="A596" s="82"/>
      <c r="B596" s="82"/>
      <c r="C596" s="214"/>
      <c r="D596" s="270"/>
      <c r="E596" s="83"/>
      <c r="F596" s="200" t="s">
        <v>1252</v>
      </c>
      <c r="G596" s="524">
        <v>423600</v>
      </c>
      <c r="H596" s="4" t="s">
        <v>904</v>
      </c>
      <c r="I596" s="435">
        <v>40000</v>
      </c>
      <c r="J596" s="435">
        <v>40000</v>
      </c>
      <c r="K596" s="435">
        <v>10849</v>
      </c>
      <c r="L596" s="517"/>
    </row>
    <row r="597" spans="1:12" s="22" customFormat="1" ht="13.5">
      <c r="A597" s="88"/>
      <c r="B597" s="88"/>
      <c r="C597" s="214"/>
      <c r="D597" s="270"/>
      <c r="E597" s="89"/>
      <c r="F597" s="200" t="s">
        <v>1253</v>
      </c>
      <c r="G597" s="528">
        <v>424000</v>
      </c>
      <c r="H597" s="20" t="s">
        <v>800</v>
      </c>
      <c r="I597" s="434">
        <f>I598+I599</f>
        <v>320000</v>
      </c>
      <c r="J597" s="434">
        <f>J598+J599</f>
        <v>320000</v>
      </c>
      <c r="K597" s="434">
        <f>K598+K599</f>
        <v>256656</v>
      </c>
      <c r="L597" s="517"/>
    </row>
    <row r="598" spans="1:12" ht="12.75">
      <c r="A598" s="86"/>
      <c r="B598" s="86"/>
      <c r="C598" s="214"/>
      <c r="D598" s="270"/>
      <c r="E598" s="87"/>
      <c r="F598" s="200" t="s">
        <v>1254</v>
      </c>
      <c r="G598" s="524">
        <v>424200</v>
      </c>
      <c r="H598" s="4" t="s">
        <v>907</v>
      </c>
      <c r="I598" s="435">
        <v>270000</v>
      </c>
      <c r="J598" s="435">
        <v>270000</v>
      </c>
      <c r="K598" s="435">
        <v>223552</v>
      </c>
      <c r="L598" s="517"/>
    </row>
    <row r="599" spans="1:12" ht="12.75">
      <c r="A599" s="82"/>
      <c r="B599" s="82"/>
      <c r="C599" s="214"/>
      <c r="D599" s="270"/>
      <c r="E599" s="83"/>
      <c r="F599" s="200" t="s">
        <v>1255</v>
      </c>
      <c r="G599" s="524">
        <v>424900</v>
      </c>
      <c r="H599" s="4" t="s">
        <v>934</v>
      </c>
      <c r="I599" s="435">
        <v>50000</v>
      </c>
      <c r="J599" s="435">
        <v>50000</v>
      </c>
      <c r="K599" s="435">
        <v>33104</v>
      </c>
      <c r="L599" s="517"/>
    </row>
    <row r="600" spans="1:12" s="22" customFormat="1" ht="13.5">
      <c r="A600" s="88"/>
      <c r="B600" s="88"/>
      <c r="C600" s="214"/>
      <c r="D600" s="270"/>
      <c r="E600" s="89"/>
      <c r="F600" s="200" t="s">
        <v>627</v>
      </c>
      <c r="G600" s="528">
        <v>425000</v>
      </c>
      <c r="H600" s="20" t="s">
        <v>797</v>
      </c>
      <c r="I600" s="434">
        <f>I601+I602</f>
        <v>80000</v>
      </c>
      <c r="J600" s="434">
        <f>J601+J602</f>
        <v>80000</v>
      </c>
      <c r="K600" s="434">
        <f>K601+K602</f>
        <v>14820</v>
      </c>
      <c r="L600" s="517"/>
    </row>
    <row r="601" spans="1:12" ht="12.75">
      <c r="A601" s="86"/>
      <c r="B601" s="86"/>
      <c r="C601" s="214"/>
      <c r="D601" s="270"/>
      <c r="E601" s="87"/>
      <c r="F601" s="200" t="s">
        <v>1256</v>
      </c>
      <c r="G601" s="524">
        <v>425100</v>
      </c>
      <c r="H601" s="4" t="s">
        <v>909</v>
      </c>
      <c r="I601" s="435">
        <v>50000</v>
      </c>
      <c r="J601" s="435">
        <v>50000</v>
      </c>
      <c r="K601" s="435">
        <v>0</v>
      </c>
      <c r="L601" s="517"/>
    </row>
    <row r="602" spans="1:12" ht="12.75">
      <c r="A602" s="82"/>
      <c r="B602" s="82"/>
      <c r="C602" s="214"/>
      <c r="D602" s="270"/>
      <c r="E602" s="83"/>
      <c r="F602" s="200" t="s">
        <v>1257</v>
      </c>
      <c r="G602" s="524">
        <v>425200</v>
      </c>
      <c r="H602" s="4" t="s">
        <v>910</v>
      </c>
      <c r="I602" s="435">
        <v>30000</v>
      </c>
      <c r="J602" s="435">
        <v>30000</v>
      </c>
      <c r="K602" s="435">
        <v>14820</v>
      </c>
      <c r="L602" s="517"/>
    </row>
    <row r="603" spans="1:12" s="22" customFormat="1" ht="13.5">
      <c r="A603" s="88"/>
      <c r="B603" s="88"/>
      <c r="C603" s="214"/>
      <c r="D603" s="270"/>
      <c r="E603" s="89"/>
      <c r="F603" s="200" t="s">
        <v>713</v>
      </c>
      <c r="G603" s="528">
        <v>426000</v>
      </c>
      <c r="H603" s="20" t="s">
        <v>795</v>
      </c>
      <c r="I603" s="434">
        <f>I604+I605+I606+I607</f>
        <v>250000</v>
      </c>
      <c r="J603" s="434">
        <f>J604+J605+J606+J607</f>
        <v>250000</v>
      </c>
      <c r="K603" s="434">
        <f>K604+K605+K606+K607</f>
        <v>104231</v>
      </c>
      <c r="L603" s="517"/>
    </row>
    <row r="604" spans="1:12" ht="12.75">
      <c r="A604" s="86"/>
      <c r="B604" s="86"/>
      <c r="C604" s="214"/>
      <c r="D604" s="270"/>
      <c r="E604" s="87"/>
      <c r="F604" s="200" t="s">
        <v>1258</v>
      </c>
      <c r="G604" s="524">
        <v>426100</v>
      </c>
      <c r="H604" s="4" t="s">
        <v>911</v>
      </c>
      <c r="I604" s="435">
        <v>40000</v>
      </c>
      <c r="J604" s="435">
        <v>40000</v>
      </c>
      <c r="K604" s="435">
        <v>13081</v>
      </c>
      <c r="L604" s="517"/>
    </row>
    <row r="605" spans="1:12" ht="12.75">
      <c r="A605" s="82"/>
      <c r="B605" s="82"/>
      <c r="C605" s="214"/>
      <c r="D605" s="270"/>
      <c r="E605" s="83"/>
      <c r="F605" s="200" t="s">
        <v>1259</v>
      </c>
      <c r="G605" s="524">
        <v>426400</v>
      </c>
      <c r="H605" s="4" t="s">
        <v>215</v>
      </c>
      <c r="I605" s="435">
        <v>50000</v>
      </c>
      <c r="J605" s="435">
        <v>50000</v>
      </c>
      <c r="K605" s="435">
        <v>25000</v>
      </c>
      <c r="L605" s="517"/>
    </row>
    <row r="606" spans="1:12" ht="12.75">
      <c r="A606" s="82"/>
      <c r="B606" s="82"/>
      <c r="C606" s="214"/>
      <c r="D606" s="270"/>
      <c r="E606" s="83"/>
      <c r="F606" s="200" t="s">
        <v>1261</v>
      </c>
      <c r="G606" s="524">
        <v>426600</v>
      </c>
      <c r="H606" s="5" t="s">
        <v>923</v>
      </c>
      <c r="I606" s="435">
        <v>120000</v>
      </c>
      <c r="J606" s="435">
        <v>120000</v>
      </c>
      <c r="K606" s="435">
        <v>63024</v>
      </c>
      <c r="L606" s="517"/>
    </row>
    <row r="607" spans="1:12" ht="12.75">
      <c r="A607" s="82"/>
      <c r="B607" s="82"/>
      <c r="C607" s="214"/>
      <c r="D607" s="270"/>
      <c r="E607" s="83"/>
      <c r="F607" s="200" t="s">
        <v>1262</v>
      </c>
      <c r="G607" s="524">
        <v>426800</v>
      </c>
      <c r="H607" s="5" t="s">
        <v>913</v>
      </c>
      <c r="I607" s="435">
        <v>40000</v>
      </c>
      <c r="J607" s="435">
        <v>40000</v>
      </c>
      <c r="K607" s="435">
        <v>3126</v>
      </c>
      <c r="L607" s="517"/>
    </row>
    <row r="608" spans="1:12" s="24" customFormat="1" ht="13.5">
      <c r="A608" s="84"/>
      <c r="B608" s="84"/>
      <c r="C608" s="215"/>
      <c r="D608" s="208"/>
      <c r="E608" s="85"/>
      <c r="F608" s="200" t="s">
        <v>1263</v>
      </c>
      <c r="G608" s="528" t="s">
        <v>381</v>
      </c>
      <c r="H608" s="23" t="s">
        <v>384</v>
      </c>
      <c r="I608" s="434">
        <f>I609</f>
        <v>600000</v>
      </c>
      <c r="J608" s="434">
        <f>J609</f>
        <v>600000</v>
      </c>
      <c r="K608" s="434">
        <f>K609</f>
        <v>303466.22</v>
      </c>
      <c r="L608" s="517"/>
    </row>
    <row r="609" spans="1:12" ht="12.75">
      <c r="A609" s="82"/>
      <c r="B609" s="82"/>
      <c r="C609" s="214"/>
      <c r="D609" s="270"/>
      <c r="E609" s="83"/>
      <c r="F609" s="200" t="s">
        <v>1264</v>
      </c>
      <c r="G609" s="524" t="s">
        <v>382</v>
      </c>
      <c r="H609" s="5" t="s">
        <v>383</v>
      </c>
      <c r="I609" s="435">
        <v>600000</v>
      </c>
      <c r="J609" s="435">
        <v>600000</v>
      </c>
      <c r="K609" s="435">
        <v>303466.22</v>
      </c>
      <c r="L609" s="517"/>
    </row>
    <row r="610" spans="1:12" s="22" customFormat="1" ht="13.5">
      <c r="A610" s="88"/>
      <c r="B610" s="88"/>
      <c r="C610" s="214"/>
      <c r="D610" s="270"/>
      <c r="E610" s="89"/>
      <c r="F610" s="200" t="s">
        <v>1265</v>
      </c>
      <c r="G610" s="528">
        <v>472000</v>
      </c>
      <c r="H610" s="23" t="s">
        <v>810</v>
      </c>
      <c r="I610" s="434">
        <f>I611</f>
        <v>50000</v>
      </c>
      <c r="J610" s="434">
        <f>J611</f>
        <v>50000</v>
      </c>
      <c r="K610" s="434">
        <f>K611</f>
        <v>0</v>
      </c>
      <c r="L610" s="517"/>
    </row>
    <row r="611" spans="1:12" ht="12.75">
      <c r="A611" s="86"/>
      <c r="B611" s="86"/>
      <c r="C611" s="214"/>
      <c r="D611" s="270"/>
      <c r="E611" s="87"/>
      <c r="F611" s="200" t="s">
        <v>374</v>
      </c>
      <c r="G611" s="524">
        <v>472900</v>
      </c>
      <c r="H611" s="5" t="s">
        <v>886</v>
      </c>
      <c r="I611" s="435">
        <v>50000</v>
      </c>
      <c r="J611" s="435">
        <v>50000</v>
      </c>
      <c r="K611" s="435">
        <v>0</v>
      </c>
      <c r="L611" s="517"/>
    </row>
    <row r="612" spans="1:12" s="22" customFormat="1" ht="13.5">
      <c r="A612" s="88"/>
      <c r="B612" s="88"/>
      <c r="C612" s="214"/>
      <c r="D612" s="270"/>
      <c r="E612" s="89"/>
      <c r="F612" s="200" t="s">
        <v>1266</v>
      </c>
      <c r="G612" s="54">
        <v>483000</v>
      </c>
      <c r="H612" s="23" t="s">
        <v>860</v>
      </c>
      <c r="I612" s="434">
        <f>I613</f>
        <v>50000</v>
      </c>
      <c r="J612" s="434">
        <f>J613</f>
        <v>50000</v>
      </c>
      <c r="K612" s="434">
        <f>K613</f>
        <v>0</v>
      </c>
      <c r="L612" s="517"/>
    </row>
    <row r="613" spans="1:12" ht="12.75">
      <c r="A613" s="86"/>
      <c r="B613" s="86"/>
      <c r="C613" s="214"/>
      <c r="D613" s="270"/>
      <c r="E613" s="87"/>
      <c r="F613" s="200" t="s">
        <v>1267</v>
      </c>
      <c r="G613" s="35">
        <v>483100</v>
      </c>
      <c r="H613" s="52" t="s">
        <v>860</v>
      </c>
      <c r="I613" s="435">
        <v>50000</v>
      </c>
      <c r="J613" s="435">
        <v>50000</v>
      </c>
      <c r="K613" s="435">
        <v>0</v>
      </c>
      <c r="L613" s="517"/>
    </row>
    <row r="614" spans="1:12" s="22" customFormat="1" ht="13.5">
      <c r="A614" s="88"/>
      <c r="B614" s="88"/>
      <c r="C614" s="214"/>
      <c r="D614" s="270"/>
      <c r="E614" s="89"/>
      <c r="F614" s="200" t="s">
        <v>1268</v>
      </c>
      <c r="G614" s="528">
        <v>512000</v>
      </c>
      <c r="H614" s="25" t="s">
        <v>796</v>
      </c>
      <c r="I614" s="434">
        <f>I615</f>
        <v>500000</v>
      </c>
      <c r="J614" s="434">
        <f>J615</f>
        <v>500000</v>
      </c>
      <c r="K614" s="434">
        <f>K615</f>
        <v>0</v>
      </c>
      <c r="L614" s="517"/>
    </row>
    <row r="615" spans="1:12" ht="12.75">
      <c r="A615" s="86"/>
      <c r="B615" s="86"/>
      <c r="C615" s="214"/>
      <c r="D615" s="270"/>
      <c r="E615" s="87"/>
      <c r="F615" s="200" t="s">
        <v>1269</v>
      </c>
      <c r="G615" s="524">
        <v>512600</v>
      </c>
      <c r="H615" s="6" t="s">
        <v>936</v>
      </c>
      <c r="I615" s="435">
        <v>500000</v>
      </c>
      <c r="J615" s="435">
        <v>500000</v>
      </c>
      <c r="K615" s="435">
        <v>0</v>
      </c>
      <c r="L615" s="517"/>
    </row>
    <row r="616" spans="1:12" ht="12.75">
      <c r="A616" s="82"/>
      <c r="B616" s="82"/>
      <c r="C616" s="214"/>
      <c r="D616" s="270"/>
      <c r="E616" s="83"/>
      <c r="F616" s="200"/>
      <c r="G616" s="48"/>
      <c r="H616" s="33"/>
      <c r="I616" s="435"/>
      <c r="J616" s="435"/>
      <c r="K616" s="435"/>
      <c r="L616" s="517"/>
    </row>
    <row r="617" spans="1:13" s="36" customFormat="1" ht="12" customHeight="1">
      <c r="A617" s="82"/>
      <c r="B617" s="82"/>
      <c r="C617" s="214"/>
      <c r="D617" s="270"/>
      <c r="E617" s="83"/>
      <c r="F617" s="200"/>
      <c r="G617" s="524"/>
      <c r="H617" s="292" t="s">
        <v>636</v>
      </c>
      <c r="I617" s="434">
        <f>I589+I591+I597+I600+I603+I608+I610+I612+I614</f>
        <v>2180000</v>
      </c>
      <c r="J617" s="434">
        <f>J614+J612+J610+J608+J603+J600+J597+J591+J589</f>
        <v>2180000</v>
      </c>
      <c r="K617" s="603">
        <f>K589+K591+K597+K600+K603+K608+K610+K612+K614</f>
        <v>776922.22</v>
      </c>
      <c r="L617" s="517"/>
      <c r="M617" s="521"/>
    </row>
    <row r="618" spans="1:12" ht="12.75">
      <c r="A618" s="86"/>
      <c r="B618" s="86"/>
      <c r="C618" s="214"/>
      <c r="D618" s="270"/>
      <c r="E618" s="87"/>
      <c r="F618" s="200"/>
      <c r="G618" s="524"/>
      <c r="H618" s="6"/>
      <c r="I618" s="435"/>
      <c r="J618" s="435"/>
      <c r="K618" s="435"/>
      <c r="L618" s="517"/>
    </row>
    <row r="619" spans="1:12" s="22" customFormat="1" ht="24" customHeight="1">
      <c r="A619" s="88"/>
      <c r="B619" s="88"/>
      <c r="C619" s="214"/>
      <c r="D619" s="274" t="s">
        <v>501</v>
      </c>
      <c r="E619" s="89"/>
      <c r="F619" s="200"/>
      <c r="G619" s="527"/>
      <c r="H619" s="125" t="s">
        <v>475</v>
      </c>
      <c r="I619" s="432"/>
      <c r="J619" s="432"/>
      <c r="K619" s="432"/>
      <c r="L619" s="517"/>
    </row>
    <row r="620" spans="1:12" s="22" customFormat="1" ht="13.5">
      <c r="A620" s="88"/>
      <c r="B620" s="88"/>
      <c r="C620" s="214"/>
      <c r="D620" s="270"/>
      <c r="E620" s="89">
        <v>820</v>
      </c>
      <c r="F620" s="200"/>
      <c r="G620" s="534"/>
      <c r="H620" s="91" t="s">
        <v>250</v>
      </c>
      <c r="I620" s="449"/>
      <c r="J620" s="449"/>
      <c r="K620" s="449"/>
      <c r="L620" s="517"/>
    </row>
    <row r="621" spans="1:12" s="22" customFormat="1" ht="13.5">
      <c r="A621" s="88"/>
      <c r="B621" s="88"/>
      <c r="C621" s="214"/>
      <c r="D621" s="270"/>
      <c r="E621" s="89"/>
      <c r="F621" s="200" t="s">
        <v>1270</v>
      </c>
      <c r="G621" s="54">
        <v>422000</v>
      </c>
      <c r="H621" s="20" t="s">
        <v>793</v>
      </c>
      <c r="I621" s="434">
        <f>I622</f>
        <v>40000</v>
      </c>
      <c r="J621" s="434">
        <f>J622</f>
        <v>40000</v>
      </c>
      <c r="K621" s="434">
        <f>K622</f>
        <v>3000</v>
      </c>
      <c r="L621" s="517"/>
    </row>
    <row r="622" spans="1:12" ht="12.75">
      <c r="A622" s="82"/>
      <c r="B622" s="82"/>
      <c r="C622" s="214"/>
      <c r="D622" s="270"/>
      <c r="E622" s="83"/>
      <c r="F622" s="200" t="s">
        <v>1271</v>
      </c>
      <c r="G622" s="524">
        <v>422300</v>
      </c>
      <c r="H622" s="5" t="s">
        <v>943</v>
      </c>
      <c r="I622" s="435">
        <v>40000</v>
      </c>
      <c r="J622" s="435">
        <v>40000</v>
      </c>
      <c r="K622" s="435">
        <v>3000</v>
      </c>
      <c r="L622" s="517"/>
    </row>
    <row r="623" spans="1:12" s="22" customFormat="1" ht="13.5">
      <c r="A623" s="88"/>
      <c r="B623" s="88"/>
      <c r="C623" s="214"/>
      <c r="D623" s="270"/>
      <c r="E623" s="89"/>
      <c r="F623" s="200" t="s">
        <v>379</v>
      </c>
      <c r="G623" s="54">
        <v>423000</v>
      </c>
      <c r="H623" s="20" t="s">
        <v>794</v>
      </c>
      <c r="I623" s="434">
        <f>I624</f>
        <v>9000</v>
      </c>
      <c r="J623" s="434">
        <f>J624</f>
        <v>9000</v>
      </c>
      <c r="K623" s="434">
        <f>K624</f>
        <v>0</v>
      </c>
      <c r="L623" s="517"/>
    </row>
    <row r="624" spans="1:12" ht="12.75">
      <c r="A624" s="82"/>
      <c r="B624" s="82"/>
      <c r="C624" s="214"/>
      <c r="D624" s="270"/>
      <c r="E624" s="83"/>
      <c r="F624" s="200" t="s">
        <v>1272</v>
      </c>
      <c r="G624" s="524">
        <v>423400</v>
      </c>
      <c r="H624" s="4" t="s">
        <v>884</v>
      </c>
      <c r="I624" s="435">
        <v>9000</v>
      </c>
      <c r="J624" s="435">
        <v>9000</v>
      </c>
      <c r="K624" s="435">
        <v>0</v>
      </c>
      <c r="L624" s="517"/>
    </row>
    <row r="625" spans="1:12" s="22" customFormat="1" ht="13.5">
      <c r="A625" s="88"/>
      <c r="B625" s="88"/>
      <c r="C625" s="214"/>
      <c r="D625" s="270"/>
      <c r="E625" s="89"/>
      <c r="F625" s="200" t="s">
        <v>1273</v>
      </c>
      <c r="G625" s="528">
        <v>424000</v>
      </c>
      <c r="H625" s="20" t="s">
        <v>800</v>
      </c>
      <c r="I625" s="434">
        <f>I626</f>
        <v>15000</v>
      </c>
      <c r="J625" s="434">
        <f>J626</f>
        <v>15000</v>
      </c>
      <c r="K625" s="434">
        <f>K626</f>
        <v>0</v>
      </c>
      <c r="L625" s="517"/>
    </row>
    <row r="626" spans="1:12" ht="12.75">
      <c r="A626" s="86"/>
      <c r="B626" s="86"/>
      <c r="C626" s="214"/>
      <c r="D626" s="270"/>
      <c r="E626" s="87"/>
      <c r="F626" s="200" t="s">
        <v>1274</v>
      </c>
      <c r="G626" s="524">
        <v>424200</v>
      </c>
      <c r="H626" s="4" t="s">
        <v>907</v>
      </c>
      <c r="I626" s="435">
        <v>15000</v>
      </c>
      <c r="J626" s="435">
        <v>15000</v>
      </c>
      <c r="K626" s="435">
        <v>0</v>
      </c>
      <c r="L626" s="517"/>
    </row>
    <row r="627" spans="1:12" s="22" customFormat="1" ht="13.5">
      <c r="A627" s="88"/>
      <c r="B627" s="88"/>
      <c r="C627" s="214"/>
      <c r="D627" s="270"/>
      <c r="E627" s="89"/>
      <c r="F627" s="200" t="s">
        <v>1275</v>
      </c>
      <c r="G627" s="528">
        <v>426000</v>
      </c>
      <c r="H627" s="20" t="s">
        <v>795</v>
      </c>
      <c r="I627" s="434">
        <f>I628</f>
        <v>80000</v>
      </c>
      <c r="J627" s="434">
        <f>J628</f>
        <v>80000</v>
      </c>
      <c r="K627" s="434">
        <f>K628</f>
        <v>0</v>
      </c>
      <c r="L627" s="517"/>
    </row>
    <row r="628" spans="1:12" ht="12.75">
      <c r="A628" s="82"/>
      <c r="B628" s="82"/>
      <c r="C628" s="214"/>
      <c r="D628" s="270"/>
      <c r="E628" s="83"/>
      <c r="F628" s="200" t="s">
        <v>1276</v>
      </c>
      <c r="G628" s="524">
        <v>426600</v>
      </c>
      <c r="H628" s="5" t="s">
        <v>923</v>
      </c>
      <c r="I628" s="435">
        <v>80000</v>
      </c>
      <c r="J628" s="435">
        <v>80000</v>
      </c>
      <c r="K628" s="435">
        <v>0</v>
      </c>
      <c r="L628" s="517"/>
    </row>
    <row r="629" spans="1:12" ht="12.75">
      <c r="A629" s="82"/>
      <c r="B629" s="82"/>
      <c r="C629" s="214"/>
      <c r="D629" s="270"/>
      <c r="E629" s="83"/>
      <c r="F629" s="200"/>
      <c r="G629" s="48"/>
      <c r="H629" s="33"/>
      <c r="I629" s="435"/>
      <c r="J629" s="435"/>
      <c r="K629" s="435"/>
      <c r="L629" s="517"/>
    </row>
    <row r="630" spans="1:12" s="36" customFormat="1" ht="13.5">
      <c r="A630" s="82"/>
      <c r="B630" s="82"/>
      <c r="C630" s="214"/>
      <c r="D630" s="270"/>
      <c r="E630" s="83"/>
      <c r="F630" s="200"/>
      <c r="G630" s="524"/>
      <c r="H630" s="292" t="s">
        <v>637</v>
      </c>
      <c r="I630" s="434">
        <f>I627+I625+I623+I621</f>
        <v>144000</v>
      </c>
      <c r="J630" s="434">
        <f>J627+J625+J623+J621</f>
        <v>144000</v>
      </c>
      <c r="K630" s="603">
        <f>K627+K625+K623+K621</f>
        <v>3000</v>
      </c>
      <c r="L630" s="517"/>
    </row>
    <row r="631" spans="1:12" ht="12.75">
      <c r="A631" s="82"/>
      <c r="B631" s="82"/>
      <c r="C631" s="214"/>
      <c r="D631" s="270"/>
      <c r="E631" s="83"/>
      <c r="F631" s="200"/>
      <c r="G631" s="524"/>
      <c r="H631" s="5"/>
      <c r="I631" s="435"/>
      <c r="J631" s="435"/>
      <c r="K631" s="435"/>
      <c r="L631" s="517"/>
    </row>
    <row r="632" spans="1:12" s="22" customFormat="1" ht="16.5" customHeight="1">
      <c r="A632" s="88"/>
      <c r="B632" s="88"/>
      <c r="C632" s="214"/>
      <c r="D632" s="274" t="s">
        <v>502</v>
      </c>
      <c r="E632" s="89"/>
      <c r="F632" s="200"/>
      <c r="G632" s="527"/>
      <c r="H632" s="125" t="s">
        <v>476</v>
      </c>
      <c r="I632" s="432"/>
      <c r="J632" s="432"/>
      <c r="K632" s="432"/>
      <c r="L632" s="517"/>
    </row>
    <row r="633" spans="1:12" s="22" customFormat="1" ht="13.5">
      <c r="A633" s="88"/>
      <c r="B633" s="88"/>
      <c r="C633" s="214"/>
      <c r="D633" s="270"/>
      <c r="E633" s="89">
        <v>820</v>
      </c>
      <c r="F633" s="200"/>
      <c r="G633" s="534"/>
      <c r="H633" s="91" t="s">
        <v>250</v>
      </c>
      <c r="I633" s="449"/>
      <c r="J633" s="449"/>
      <c r="K633" s="449"/>
      <c r="L633" s="517"/>
    </row>
    <row r="634" spans="1:12" s="22" customFormat="1" ht="13.5">
      <c r="A634" s="88"/>
      <c r="B634" s="88"/>
      <c r="C634" s="214"/>
      <c r="D634" s="270"/>
      <c r="E634" s="89"/>
      <c r="F634" s="200" t="s">
        <v>1277</v>
      </c>
      <c r="G634" s="54">
        <v>423000</v>
      </c>
      <c r="H634" s="20" t="s">
        <v>794</v>
      </c>
      <c r="I634" s="434">
        <f>I635</f>
        <v>5000</v>
      </c>
      <c r="J634" s="434">
        <f>J635</f>
        <v>5000</v>
      </c>
      <c r="K634" s="434">
        <f>K635</f>
        <v>0</v>
      </c>
      <c r="L634" s="517"/>
    </row>
    <row r="635" spans="1:12" ht="12.75">
      <c r="A635" s="82"/>
      <c r="B635" s="82"/>
      <c r="C635" s="214"/>
      <c r="D635" s="270"/>
      <c r="E635" s="83"/>
      <c r="F635" s="200" t="s">
        <v>380</v>
      </c>
      <c r="G635" s="524">
        <v>423400</v>
      </c>
      <c r="H635" s="4" t="s">
        <v>884</v>
      </c>
      <c r="I635" s="435">
        <v>5000</v>
      </c>
      <c r="J635" s="435">
        <v>5000</v>
      </c>
      <c r="K635" s="435">
        <v>0</v>
      </c>
      <c r="L635" s="517"/>
    </row>
    <row r="636" spans="1:12" s="22" customFormat="1" ht="13.5">
      <c r="A636" s="88"/>
      <c r="B636" s="88"/>
      <c r="C636" s="214"/>
      <c r="D636" s="270"/>
      <c r="E636" s="89"/>
      <c r="F636" s="200" t="s">
        <v>373</v>
      </c>
      <c r="G636" s="528">
        <v>424000</v>
      </c>
      <c r="H636" s="20" t="s">
        <v>800</v>
      </c>
      <c r="I636" s="434">
        <f>I637</f>
        <v>5000</v>
      </c>
      <c r="J636" s="434">
        <f>J637</f>
        <v>5000</v>
      </c>
      <c r="K636" s="434">
        <f>K637</f>
        <v>0</v>
      </c>
      <c r="L636" s="517"/>
    </row>
    <row r="637" spans="1:12" ht="12.75">
      <c r="A637" s="86"/>
      <c r="B637" s="86"/>
      <c r="C637" s="214"/>
      <c r="D637" s="270"/>
      <c r="E637" s="87"/>
      <c r="F637" s="200" t="s">
        <v>1278</v>
      </c>
      <c r="G637" s="524">
        <v>424200</v>
      </c>
      <c r="H637" s="4" t="s">
        <v>907</v>
      </c>
      <c r="I637" s="435">
        <v>5000</v>
      </c>
      <c r="J637" s="435">
        <v>5000</v>
      </c>
      <c r="K637" s="435">
        <v>0</v>
      </c>
      <c r="L637" s="517"/>
    </row>
    <row r="638" spans="1:12" s="22" customFormat="1" ht="13.5">
      <c r="A638" s="88"/>
      <c r="B638" s="88"/>
      <c r="C638" s="214"/>
      <c r="D638" s="270"/>
      <c r="E638" s="89"/>
      <c r="F638" s="200" t="s">
        <v>1279</v>
      </c>
      <c r="G638" s="528">
        <v>426000</v>
      </c>
      <c r="H638" s="20" t="s">
        <v>795</v>
      </c>
      <c r="I638" s="434">
        <f>I639</f>
        <v>10000</v>
      </c>
      <c r="J638" s="434">
        <f>J639</f>
        <v>10000</v>
      </c>
      <c r="K638" s="434">
        <f>K639</f>
        <v>0</v>
      </c>
      <c r="L638" s="517"/>
    </row>
    <row r="639" spans="1:12" ht="12.75">
      <c r="A639" s="82"/>
      <c r="B639" s="82"/>
      <c r="C639" s="214"/>
      <c r="D639" s="270"/>
      <c r="E639" s="83"/>
      <c r="F639" s="200" t="s">
        <v>1280</v>
      </c>
      <c r="G639" s="524">
        <v>426600</v>
      </c>
      <c r="H639" s="5" t="s">
        <v>923</v>
      </c>
      <c r="I639" s="435">
        <v>10000</v>
      </c>
      <c r="J639" s="435">
        <v>10000</v>
      </c>
      <c r="K639" s="435">
        <v>0</v>
      </c>
      <c r="L639" s="517"/>
    </row>
    <row r="640" spans="1:12" ht="12.75">
      <c r="A640" s="82"/>
      <c r="B640" s="82"/>
      <c r="C640" s="214"/>
      <c r="D640" s="270"/>
      <c r="E640" s="83"/>
      <c r="F640" s="200"/>
      <c r="G640" s="48"/>
      <c r="H640" s="33"/>
      <c r="I640" s="435"/>
      <c r="J640" s="435"/>
      <c r="K640" s="435"/>
      <c r="L640" s="517"/>
    </row>
    <row r="641" spans="1:12" s="36" customFormat="1" ht="13.5">
      <c r="A641" s="82"/>
      <c r="B641" s="82"/>
      <c r="C641" s="214"/>
      <c r="D641" s="270"/>
      <c r="E641" s="83"/>
      <c r="F641" s="200"/>
      <c r="G641" s="524"/>
      <c r="H641" s="292" t="s">
        <v>638</v>
      </c>
      <c r="I641" s="434">
        <f>I634+I636+I638</f>
        <v>20000</v>
      </c>
      <c r="J641" s="434">
        <f>J634+J636+J638</f>
        <v>20000</v>
      </c>
      <c r="K641" s="603">
        <v>0</v>
      </c>
      <c r="L641" s="517"/>
    </row>
    <row r="642" spans="1:12" s="36" customFormat="1" ht="12.75">
      <c r="A642" s="86"/>
      <c r="B642" s="86"/>
      <c r="C642" s="214"/>
      <c r="D642" s="270"/>
      <c r="E642" s="87"/>
      <c r="F642" s="200"/>
      <c r="G642" s="35"/>
      <c r="H642" s="7"/>
      <c r="I642" s="435"/>
      <c r="J642" s="435"/>
      <c r="K642" s="435"/>
      <c r="L642" s="517"/>
    </row>
    <row r="643" spans="1:12" ht="15">
      <c r="A643" s="82"/>
      <c r="B643" s="82"/>
      <c r="C643" s="214"/>
      <c r="D643" s="274" t="s">
        <v>503</v>
      </c>
      <c r="E643" s="83"/>
      <c r="F643" s="200"/>
      <c r="G643" s="48"/>
      <c r="H643" s="125" t="s">
        <v>477</v>
      </c>
      <c r="I643" s="435"/>
      <c r="J643" s="435"/>
      <c r="K643" s="435"/>
      <c r="L643" s="517"/>
    </row>
    <row r="644" spans="1:12" ht="13.5">
      <c r="A644" s="82"/>
      <c r="B644" s="82"/>
      <c r="C644" s="214"/>
      <c r="D644" s="270"/>
      <c r="E644" s="89">
        <v>820</v>
      </c>
      <c r="F644" s="200"/>
      <c r="G644" s="48"/>
      <c r="H644" s="91" t="s">
        <v>250</v>
      </c>
      <c r="I644" s="435"/>
      <c r="J644" s="435"/>
      <c r="K644" s="435"/>
      <c r="L644" s="517"/>
    </row>
    <row r="645" spans="1:12" ht="13.5">
      <c r="A645" s="82"/>
      <c r="B645" s="82"/>
      <c r="C645" s="214"/>
      <c r="D645" s="270"/>
      <c r="E645" s="89"/>
      <c r="F645" s="200"/>
      <c r="G645" s="54">
        <v>422000</v>
      </c>
      <c r="H645" s="20" t="s">
        <v>793</v>
      </c>
      <c r="I645" s="434">
        <f>I646</f>
        <v>15000</v>
      </c>
      <c r="J645" s="434">
        <f>J646</f>
        <v>15000</v>
      </c>
      <c r="K645" s="434">
        <f>K646</f>
        <v>0</v>
      </c>
      <c r="L645" s="517"/>
    </row>
    <row r="646" spans="1:12" ht="12.75">
      <c r="A646" s="82"/>
      <c r="B646" s="82"/>
      <c r="C646" s="214"/>
      <c r="D646" s="270"/>
      <c r="E646" s="89"/>
      <c r="F646" s="200"/>
      <c r="G646" s="524">
        <v>422300</v>
      </c>
      <c r="H646" s="5" t="s">
        <v>943</v>
      </c>
      <c r="I646" s="435">
        <v>15000</v>
      </c>
      <c r="J646" s="435">
        <v>15000</v>
      </c>
      <c r="K646" s="435">
        <v>0</v>
      </c>
      <c r="L646" s="517"/>
    </row>
    <row r="647" spans="1:12" ht="13.5">
      <c r="A647" s="82"/>
      <c r="B647" s="82"/>
      <c r="C647" s="214"/>
      <c r="D647" s="270"/>
      <c r="E647" s="89"/>
      <c r="F647" s="200"/>
      <c r="G647" s="248" t="s">
        <v>460</v>
      </c>
      <c r="H647" s="242" t="s">
        <v>794</v>
      </c>
      <c r="I647" s="434">
        <f>I648</f>
        <v>15000</v>
      </c>
      <c r="J647" s="434">
        <f>J648</f>
        <v>15000</v>
      </c>
      <c r="K647" s="434">
        <f>K648</f>
        <v>0</v>
      </c>
      <c r="L647" s="517"/>
    </row>
    <row r="648" spans="1:12" ht="12.75">
      <c r="A648" s="82"/>
      <c r="B648" s="82"/>
      <c r="C648" s="214"/>
      <c r="D648" s="270"/>
      <c r="E648" s="89"/>
      <c r="F648" s="200"/>
      <c r="G648" s="48" t="s">
        <v>620</v>
      </c>
      <c r="H648" s="243" t="s">
        <v>884</v>
      </c>
      <c r="I648" s="435">
        <v>15000</v>
      </c>
      <c r="J648" s="435">
        <v>15000</v>
      </c>
      <c r="K648" s="435">
        <v>0</v>
      </c>
      <c r="L648" s="517"/>
    </row>
    <row r="649" spans="1:12" ht="13.5">
      <c r="A649" s="82"/>
      <c r="B649" s="82"/>
      <c r="C649" s="214"/>
      <c r="D649" s="270"/>
      <c r="E649" s="89"/>
      <c r="F649" s="200"/>
      <c r="G649" s="528">
        <v>424000</v>
      </c>
      <c r="H649" s="20" t="s">
        <v>800</v>
      </c>
      <c r="I649" s="434">
        <f>I650</f>
        <v>10000</v>
      </c>
      <c r="J649" s="434">
        <f>J650</f>
        <v>10000</v>
      </c>
      <c r="K649" s="434">
        <f>K650</f>
        <v>0</v>
      </c>
      <c r="L649" s="517"/>
    </row>
    <row r="650" spans="1:12" ht="12.75">
      <c r="A650" s="82"/>
      <c r="B650" s="82"/>
      <c r="C650" s="214"/>
      <c r="D650" s="270"/>
      <c r="E650" s="89"/>
      <c r="F650" s="200"/>
      <c r="G650" s="524">
        <v>424200</v>
      </c>
      <c r="H650" s="4" t="s">
        <v>907</v>
      </c>
      <c r="I650" s="435">
        <v>10000</v>
      </c>
      <c r="J650" s="435">
        <v>10000</v>
      </c>
      <c r="K650" s="435">
        <v>0</v>
      </c>
      <c r="L650" s="517"/>
    </row>
    <row r="651" spans="1:12" ht="13.5">
      <c r="A651" s="82"/>
      <c r="B651" s="82"/>
      <c r="C651" s="214"/>
      <c r="D651" s="270"/>
      <c r="E651" s="83"/>
      <c r="F651" s="200"/>
      <c r="G651" s="528">
        <v>426000</v>
      </c>
      <c r="H651" s="20" t="s">
        <v>795</v>
      </c>
      <c r="I651" s="434">
        <f>I652</f>
        <v>20000</v>
      </c>
      <c r="J651" s="434">
        <f>J652</f>
        <v>20000</v>
      </c>
      <c r="K651" s="434">
        <f>K652</f>
        <v>0</v>
      </c>
      <c r="L651" s="517"/>
    </row>
    <row r="652" spans="1:12" ht="12.75">
      <c r="A652" s="82"/>
      <c r="B652" s="82"/>
      <c r="C652" s="214"/>
      <c r="D652" s="270"/>
      <c r="E652" s="83"/>
      <c r="F652" s="200"/>
      <c r="G652" s="524">
        <v>426600</v>
      </c>
      <c r="H652" s="5" t="s">
        <v>923</v>
      </c>
      <c r="I652" s="435">
        <v>20000</v>
      </c>
      <c r="J652" s="435">
        <v>20000</v>
      </c>
      <c r="K652" s="435">
        <v>0</v>
      </c>
      <c r="L652" s="517"/>
    </row>
    <row r="653" spans="1:12" ht="12.75">
      <c r="A653" s="82"/>
      <c r="B653" s="82"/>
      <c r="C653" s="214"/>
      <c r="D653" s="270"/>
      <c r="E653" s="83"/>
      <c r="F653" s="200"/>
      <c r="G653" s="524"/>
      <c r="H653" s="5"/>
      <c r="I653" s="435"/>
      <c r="J653" s="435"/>
      <c r="K653" s="435"/>
      <c r="L653" s="517"/>
    </row>
    <row r="654" spans="1:12" ht="13.5">
      <c r="A654" s="82"/>
      <c r="B654" s="82"/>
      <c r="C654" s="214"/>
      <c r="D654" s="270"/>
      <c r="E654" s="83"/>
      <c r="F654" s="200"/>
      <c r="G654" s="524"/>
      <c r="H654" s="292" t="s">
        <v>478</v>
      </c>
      <c r="I654" s="434">
        <f>I645+I647+I649+I651</f>
        <v>60000</v>
      </c>
      <c r="J654" s="434">
        <f>J645+J647+J649+J651</f>
        <v>60000</v>
      </c>
      <c r="K654" s="744">
        <v>0</v>
      </c>
      <c r="L654" s="517"/>
    </row>
    <row r="655" spans="1:12" ht="13.5">
      <c r="A655" s="82"/>
      <c r="B655" s="82"/>
      <c r="C655" s="214"/>
      <c r="D655" s="270"/>
      <c r="E655" s="83"/>
      <c r="F655" s="200"/>
      <c r="G655" s="524"/>
      <c r="H655" s="292"/>
      <c r="I655" s="434"/>
      <c r="J655" s="434"/>
      <c r="K655" s="604"/>
      <c r="L655" s="517"/>
    </row>
    <row r="656" spans="1:12" s="36" customFormat="1" ht="12.75">
      <c r="A656" s="474"/>
      <c r="B656" s="474"/>
      <c r="C656" s="475"/>
      <c r="D656" s="476"/>
      <c r="E656" s="477"/>
      <c r="F656" s="478"/>
      <c r="G656" s="483"/>
      <c r="H656" s="484" t="s">
        <v>12</v>
      </c>
      <c r="I656" s="481">
        <f>I585+I617+I630+I641+I654</f>
        <v>19872000</v>
      </c>
      <c r="J656" s="481">
        <f>J585+J617+J630+J641+J654</f>
        <v>19872000</v>
      </c>
      <c r="K656" s="481">
        <f>K585+K617+K630+K641+K654</f>
        <v>8262022.359999999</v>
      </c>
      <c r="L656" s="517"/>
    </row>
    <row r="657" spans="1:12" s="36" customFormat="1" ht="13.5" thickBot="1">
      <c r="A657" s="82"/>
      <c r="B657" s="294"/>
      <c r="C657" s="295"/>
      <c r="D657" s="296"/>
      <c r="E657" s="297"/>
      <c r="F657" s="298"/>
      <c r="G657" s="299"/>
      <c r="H657" s="304"/>
      <c r="I657" s="440"/>
      <c r="J657" s="440"/>
      <c r="K657" s="440"/>
      <c r="L657" s="517"/>
    </row>
    <row r="658" spans="1:12" s="22" customFormat="1" ht="17.25" customHeight="1" thickBot="1" thickTop="1">
      <c r="A658" s="104"/>
      <c r="B658" s="104">
        <v>17</v>
      </c>
      <c r="C658" s="213" t="s">
        <v>184</v>
      </c>
      <c r="D658" s="267"/>
      <c r="E658" s="105"/>
      <c r="F658" s="198"/>
      <c r="G658" s="525"/>
      <c r="H658" s="106" t="s">
        <v>212</v>
      </c>
      <c r="I658" s="457"/>
      <c r="J658" s="457"/>
      <c r="K658" s="457"/>
      <c r="L658" s="517"/>
    </row>
    <row r="659" spans="1:12" s="22" customFormat="1" ht="12.75" customHeight="1" thickTop="1">
      <c r="A659" s="283"/>
      <c r="B659" s="283"/>
      <c r="C659" s="284"/>
      <c r="D659" s="285" t="s">
        <v>648</v>
      </c>
      <c r="E659" s="286"/>
      <c r="F659" s="301"/>
      <c r="G659" s="526"/>
      <c r="H659" s="288" t="s">
        <v>646</v>
      </c>
      <c r="I659" s="431"/>
      <c r="J659" s="431"/>
      <c r="K659" s="431"/>
      <c r="L659" s="517"/>
    </row>
    <row r="660" spans="1:12" s="22" customFormat="1" ht="18" customHeight="1">
      <c r="A660" s="88"/>
      <c r="B660" s="88"/>
      <c r="C660" s="214"/>
      <c r="D660" s="274" t="s">
        <v>649</v>
      </c>
      <c r="E660" s="89"/>
      <c r="F660" s="200"/>
      <c r="G660" s="527"/>
      <c r="H660" s="125" t="s">
        <v>647</v>
      </c>
      <c r="I660" s="432"/>
      <c r="J660" s="432"/>
      <c r="K660" s="432"/>
      <c r="L660" s="517"/>
    </row>
    <row r="661" spans="1:12" s="22" customFormat="1" ht="13.5">
      <c r="A661" s="88"/>
      <c r="B661" s="88"/>
      <c r="C661" s="214"/>
      <c r="D661" s="270"/>
      <c r="E661" s="89">
        <v>820</v>
      </c>
      <c r="F661" s="200"/>
      <c r="G661" s="534"/>
      <c r="H661" s="91" t="s">
        <v>250</v>
      </c>
      <c r="I661" s="449"/>
      <c r="J661" s="449"/>
      <c r="K661" s="449"/>
      <c r="L661" s="517"/>
    </row>
    <row r="662" spans="1:12" s="22" customFormat="1" ht="13.5">
      <c r="A662" s="88"/>
      <c r="B662" s="88"/>
      <c r="C662" s="214"/>
      <c r="D662" s="270"/>
      <c r="E662" s="89"/>
      <c r="F662" s="200" t="s">
        <v>1281</v>
      </c>
      <c r="G662" s="54">
        <v>411000</v>
      </c>
      <c r="H662" s="20" t="s">
        <v>866</v>
      </c>
      <c r="I662" s="434">
        <f>I663</f>
        <v>16241000</v>
      </c>
      <c r="J662" s="434">
        <f>J663</f>
        <v>16241000</v>
      </c>
      <c r="K662" s="434">
        <f>K663</f>
        <v>8050361.82</v>
      </c>
      <c r="L662" s="517"/>
    </row>
    <row r="663" spans="1:12" ht="12.75">
      <c r="A663" s="86"/>
      <c r="B663" s="86"/>
      <c r="C663" s="214"/>
      <c r="D663" s="270"/>
      <c r="E663" s="87"/>
      <c r="F663" s="200" t="s">
        <v>1282</v>
      </c>
      <c r="G663" s="35">
        <v>411100</v>
      </c>
      <c r="H663" s="4" t="s">
        <v>878</v>
      </c>
      <c r="I663" s="435">
        <v>16241000</v>
      </c>
      <c r="J663" s="435">
        <v>16241000</v>
      </c>
      <c r="K663" s="435">
        <v>8050361.82</v>
      </c>
      <c r="L663" s="517"/>
    </row>
    <row r="664" spans="1:12" s="22" customFormat="1" ht="13.5">
      <c r="A664" s="88"/>
      <c r="B664" s="88"/>
      <c r="C664" s="214"/>
      <c r="D664" s="270"/>
      <c r="E664" s="89"/>
      <c r="F664" s="200" t="s">
        <v>1283</v>
      </c>
      <c r="G664" s="54">
        <v>412000</v>
      </c>
      <c r="H664" s="20" t="s">
        <v>801</v>
      </c>
      <c r="I664" s="434">
        <f>I665+I666+I667</f>
        <v>2907700</v>
      </c>
      <c r="J664" s="434">
        <f>J665+J666+J667</f>
        <v>2907700</v>
      </c>
      <c r="K664" s="434">
        <f>K665+K666+K667</f>
        <v>1441014.77</v>
      </c>
      <c r="L664" s="517"/>
    </row>
    <row r="665" spans="1:12" ht="12.75">
      <c r="A665" s="86"/>
      <c r="B665" s="86"/>
      <c r="C665" s="214"/>
      <c r="D665" s="270"/>
      <c r="E665" s="87"/>
      <c r="F665" s="200" t="s">
        <v>1284</v>
      </c>
      <c r="G665" s="35">
        <v>412100</v>
      </c>
      <c r="H665" s="4" t="s">
        <v>879</v>
      </c>
      <c r="I665" s="435">
        <v>1948900</v>
      </c>
      <c r="J665" s="435">
        <v>1948900</v>
      </c>
      <c r="K665" s="435">
        <v>966043.42</v>
      </c>
      <c r="L665" s="517"/>
    </row>
    <row r="666" spans="1:12" ht="12.75">
      <c r="A666" s="82"/>
      <c r="B666" s="82"/>
      <c r="C666" s="214"/>
      <c r="D666" s="270"/>
      <c r="E666" s="83"/>
      <c r="F666" s="200" t="s">
        <v>1285</v>
      </c>
      <c r="G666" s="35">
        <v>412200</v>
      </c>
      <c r="H666" s="4" t="s">
        <v>880</v>
      </c>
      <c r="I666" s="435">
        <v>836500</v>
      </c>
      <c r="J666" s="435">
        <v>836500</v>
      </c>
      <c r="K666" s="435">
        <v>414593.63</v>
      </c>
      <c r="L666" s="517"/>
    </row>
    <row r="667" spans="1:12" ht="12.75">
      <c r="A667" s="82"/>
      <c r="B667" s="82"/>
      <c r="C667" s="214"/>
      <c r="D667" s="270"/>
      <c r="E667" s="83"/>
      <c r="F667" s="200" t="s">
        <v>1286</v>
      </c>
      <c r="G667" s="35">
        <v>412300</v>
      </c>
      <c r="H667" s="4" t="s">
        <v>881</v>
      </c>
      <c r="I667" s="435">
        <v>122300</v>
      </c>
      <c r="J667" s="435">
        <v>122300</v>
      </c>
      <c r="K667" s="435">
        <v>60377.72</v>
      </c>
      <c r="L667" s="517"/>
    </row>
    <row r="668" spans="1:12" s="22" customFormat="1" ht="13.5">
      <c r="A668" s="88"/>
      <c r="B668" s="88"/>
      <c r="C668" s="214"/>
      <c r="D668" s="270"/>
      <c r="E668" s="89"/>
      <c r="F668" s="200" t="s">
        <v>1287</v>
      </c>
      <c r="G668" s="54">
        <v>414000</v>
      </c>
      <c r="H668" s="20" t="s">
        <v>792</v>
      </c>
      <c r="I668" s="434">
        <f>I669</f>
        <v>700000</v>
      </c>
      <c r="J668" s="434">
        <f>J669</f>
        <v>700000</v>
      </c>
      <c r="K668" s="434">
        <f>K669</f>
        <v>282033.92</v>
      </c>
      <c r="L668" s="517"/>
    </row>
    <row r="669" spans="1:12" ht="12.75">
      <c r="A669" s="82"/>
      <c r="B669" s="82"/>
      <c r="C669" s="214"/>
      <c r="D669" s="270"/>
      <c r="E669" s="83"/>
      <c r="F669" s="200" t="s">
        <v>1288</v>
      </c>
      <c r="G669" s="35">
        <v>414300</v>
      </c>
      <c r="H669" s="4" t="s">
        <v>893</v>
      </c>
      <c r="I669" s="435">
        <v>700000</v>
      </c>
      <c r="J669" s="435">
        <v>700000</v>
      </c>
      <c r="K669" s="435">
        <v>282033.92</v>
      </c>
      <c r="L669" s="517"/>
    </row>
    <row r="670" spans="1:12" s="22" customFormat="1" ht="13.5">
      <c r="A670" s="88"/>
      <c r="B670" s="88"/>
      <c r="C670" s="214"/>
      <c r="D670" s="270"/>
      <c r="E670" s="89"/>
      <c r="F670" s="200" t="s">
        <v>1289</v>
      </c>
      <c r="G670" s="54">
        <v>415000</v>
      </c>
      <c r="H670" s="239" t="s">
        <v>852</v>
      </c>
      <c r="I670" s="434">
        <f>I671</f>
        <v>630000</v>
      </c>
      <c r="J670" s="434">
        <f>J671</f>
        <v>630000</v>
      </c>
      <c r="K670" s="434">
        <f>K671</f>
        <v>318063.48</v>
      </c>
      <c r="L670" s="517"/>
    </row>
    <row r="671" spans="1:12" ht="12.75">
      <c r="A671" s="86"/>
      <c r="B671" s="86"/>
      <c r="C671" s="214"/>
      <c r="D671" s="270"/>
      <c r="E671" s="87"/>
      <c r="F671" s="200" t="s">
        <v>1290</v>
      </c>
      <c r="G671" s="35">
        <v>415100</v>
      </c>
      <c r="H671" s="52" t="s">
        <v>852</v>
      </c>
      <c r="I671" s="435">
        <v>630000</v>
      </c>
      <c r="J671" s="435">
        <v>630000</v>
      </c>
      <c r="K671" s="435">
        <v>318063.48</v>
      </c>
      <c r="L671" s="517"/>
    </row>
    <row r="672" spans="1:12" s="22" customFormat="1" ht="13.5">
      <c r="A672" s="88"/>
      <c r="B672" s="88"/>
      <c r="C672" s="214"/>
      <c r="D672" s="270"/>
      <c r="E672" s="89"/>
      <c r="F672" s="200" t="s">
        <v>1291</v>
      </c>
      <c r="G672" s="54">
        <v>416000</v>
      </c>
      <c r="H672" s="20" t="s">
        <v>853</v>
      </c>
      <c r="I672" s="434">
        <f>I673</f>
        <v>970000</v>
      </c>
      <c r="J672" s="434">
        <f>J673</f>
        <v>970000</v>
      </c>
      <c r="K672" s="434">
        <f>K673</f>
        <v>310388.66</v>
      </c>
      <c r="L672" s="517"/>
    </row>
    <row r="673" spans="1:12" ht="12.75">
      <c r="A673" s="86"/>
      <c r="B673" s="86"/>
      <c r="C673" s="214"/>
      <c r="D673" s="270"/>
      <c r="E673" s="87"/>
      <c r="F673" s="200" t="s">
        <v>1292</v>
      </c>
      <c r="G673" s="35">
        <v>416100</v>
      </c>
      <c r="H673" s="4" t="s">
        <v>853</v>
      </c>
      <c r="I673" s="435">
        <v>970000</v>
      </c>
      <c r="J673" s="435">
        <v>970000</v>
      </c>
      <c r="K673" s="435">
        <v>310388.66</v>
      </c>
      <c r="L673" s="517"/>
    </row>
    <row r="674" spans="1:12" s="22" customFormat="1" ht="13.5">
      <c r="A674" s="88"/>
      <c r="B674" s="88"/>
      <c r="C674" s="214"/>
      <c r="D674" s="270"/>
      <c r="E674" s="89"/>
      <c r="F674" s="200" t="s">
        <v>1293</v>
      </c>
      <c r="G674" s="54">
        <v>421000</v>
      </c>
      <c r="H674" s="20" t="s">
        <v>799</v>
      </c>
      <c r="I674" s="434">
        <f>I675+I676+I677+I678+I679</f>
        <v>480000</v>
      </c>
      <c r="J674" s="434">
        <f>J675+J676+J677+J678+J679</f>
        <v>480000</v>
      </c>
      <c r="K674" s="434">
        <f>K675+K676+K677+K678+K679</f>
        <v>211266.72999999998</v>
      </c>
      <c r="L674" s="517"/>
    </row>
    <row r="675" spans="1:12" ht="12.75">
      <c r="A675" s="86"/>
      <c r="B675" s="86"/>
      <c r="C675" s="214"/>
      <c r="D675" s="270"/>
      <c r="E675" s="87"/>
      <c r="F675" s="200" t="s">
        <v>1294</v>
      </c>
      <c r="G675" s="35">
        <v>421100</v>
      </c>
      <c r="H675" s="4" t="s">
        <v>894</v>
      </c>
      <c r="I675" s="435">
        <v>60000</v>
      </c>
      <c r="J675" s="435">
        <v>60000</v>
      </c>
      <c r="K675" s="435">
        <v>24666.68</v>
      </c>
      <c r="L675" s="517"/>
    </row>
    <row r="676" spans="1:12" ht="12.75">
      <c r="A676" s="82"/>
      <c r="B676" s="82"/>
      <c r="C676" s="214"/>
      <c r="D676" s="270"/>
      <c r="E676" s="83"/>
      <c r="F676" s="200" t="s">
        <v>1295</v>
      </c>
      <c r="G676" s="35">
        <v>421200</v>
      </c>
      <c r="H676" s="4" t="s">
        <v>920</v>
      </c>
      <c r="I676" s="435">
        <v>150000</v>
      </c>
      <c r="J676" s="435">
        <v>150000</v>
      </c>
      <c r="K676" s="435">
        <v>66013.67</v>
      </c>
      <c r="L676" s="517"/>
    </row>
    <row r="677" spans="1:12" ht="12.75">
      <c r="A677" s="82"/>
      <c r="B677" s="82"/>
      <c r="C677" s="214"/>
      <c r="D677" s="270"/>
      <c r="E677" s="83"/>
      <c r="F677" s="200" t="s">
        <v>1296</v>
      </c>
      <c r="G677" s="524">
        <v>421300</v>
      </c>
      <c r="H677" s="5" t="s">
        <v>896</v>
      </c>
      <c r="I677" s="435">
        <v>90000</v>
      </c>
      <c r="J677" s="435">
        <v>90000</v>
      </c>
      <c r="K677" s="435">
        <v>42402.7</v>
      </c>
      <c r="L677" s="517"/>
    </row>
    <row r="678" spans="1:12" ht="12.75">
      <c r="A678" s="82"/>
      <c r="B678" s="82"/>
      <c r="C678" s="214"/>
      <c r="D678" s="270"/>
      <c r="E678" s="83"/>
      <c r="F678" s="200" t="s">
        <v>1297</v>
      </c>
      <c r="G678" s="35">
        <v>421400</v>
      </c>
      <c r="H678" s="5" t="s">
        <v>883</v>
      </c>
      <c r="I678" s="435">
        <v>130000</v>
      </c>
      <c r="J678" s="435">
        <v>130000</v>
      </c>
      <c r="K678" s="435">
        <v>39006.13</v>
      </c>
      <c r="L678" s="517"/>
    </row>
    <row r="679" spans="1:12" ht="12.75">
      <c r="A679" s="82"/>
      <c r="B679" s="82"/>
      <c r="C679" s="214"/>
      <c r="D679" s="270"/>
      <c r="E679" s="83"/>
      <c r="F679" s="200" t="s">
        <v>1298</v>
      </c>
      <c r="G679" s="35">
        <v>421500</v>
      </c>
      <c r="H679" s="4" t="s">
        <v>897</v>
      </c>
      <c r="I679" s="435">
        <v>50000</v>
      </c>
      <c r="J679" s="435">
        <v>50000</v>
      </c>
      <c r="K679" s="435">
        <v>39177.55</v>
      </c>
      <c r="L679" s="517"/>
    </row>
    <row r="680" spans="1:12" s="36" customFormat="1" ht="12.75">
      <c r="A680" s="82"/>
      <c r="B680" s="82"/>
      <c r="C680" s="214"/>
      <c r="D680" s="270"/>
      <c r="E680" s="83"/>
      <c r="F680" s="200"/>
      <c r="G680" s="524"/>
      <c r="H680" s="290"/>
      <c r="I680" s="435"/>
      <c r="J680" s="435"/>
      <c r="K680" s="435"/>
      <c r="L680" s="517"/>
    </row>
    <row r="681" spans="1:12" s="36" customFormat="1" ht="12.75">
      <c r="A681" s="82"/>
      <c r="B681" s="82"/>
      <c r="C681" s="214"/>
      <c r="D681" s="270"/>
      <c r="E681" s="83"/>
      <c r="F681" s="200"/>
      <c r="G681" s="524"/>
      <c r="H681" s="292" t="s">
        <v>651</v>
      </c>
      <c r="I681" s="665">
        <f>I672+I670+I668+I664+I662+I674</f>
        <v>21928700</v>
      </c>
      <c r="J681" s="436">
        <f>J674+J672+J670+J668+J664+J662</f>
        <v>21928700</v>
      </c>
      <c r="K681" s="603">
        <f>K674+K672+K670+K668+K664+K662</f>
        <v>10613129.379999999</v>
      </c>
      <c r="L681" s="517"/>
    </row>
    <row r="682" spans="1:12" s="36" customFormat="1" ht="12.75">
      <c r="A682" s="82"/>
      <c r="B682" s="82"/>
      <c r="C682" s="214"/>
      <c r="D682" s="270"/>
      <c r="E682" s="83"/>
      <c r="F682" s="200"/>
      <c r="G682" s="524"/>
      <c r="H682" s="292"/>
      <c r="I682" s="436"/>
      <c r="J682" s="436"/>
      <c r="K682" s="436"/>
      <c r="L682" s="517"/>
    </row>
    <row r="683" spans="1:12" s="22" customFormat="1" ht="18" customHeight="1">
      <c r="A683" s="88"/>
      <c r="B683" s="88"/>
      <c r="C683" s="214"/>
      <c r="D683" s="274" t="s">
        <v>760</v>
      </c>
      <c r="E683" s="89"/>
      <c r="F683" s="200"/>
      <c r="G683" s="527"/>
      <c r="H683" s="125" t="s">
        <v>761</v>
      </c>
      <c r="I683" s="432"/>
      <c r="J683" s="432"/>
      <c r="K683" s="432"/>
      <c r="L683" s="517"/>
    </row>
    <row r="684" spans="1:12" s="22" customFormat="1" ht="13.5">
      <c r="A684" s="88"/>
      <c r="B684" s="88"/>
      <c r="C684" s="214"/>
      <c r="D684" s="270"/>
      <c r="E684" s="89">
        <v>820</v>
      </c>
      <c r="F684" s="200"/>
      <c r="G684" s="534"/>
      <c r="H684" s="91" t="s">
        <v>250</v>
      </c>
      <c r="I684" s="449"/>
      <c r="J684" s="449"/>
      <c r="K684" s="449"/>
      <c r="L684" s="517"/>
    </row>
    <row r="685" spans="1:12" s="24" customFormat="1" ht="13.5">
      <c r="A685" s="84"/>
      <c r="B685" s="84"/>
      <c r="C685" s="215"/>
      <c r="D685" s="208"/>
      <c r="E685" s="85"/>
      <c r="F685" s="200" t="s">
        <v>1299</v>
      </c>
      <c r="G685" s="54">
        <v>422000</v>
      </c>
      <c r="H685" s="20" t="s">
        <v>793</v>
      </c>
      <c r="I685" s="434">
        <f>I686+I687</f>
        <v>50000</v>
      </c>
      <c r="J685" s="434">
        <f>J686+J687</f>
        <v>190000</v>
      </c>
      <c r="K685" s="434">
        <f>K686+K687</f>
        <v>140000</v>
      </c>
      <c r="L685" s="517"/>
    </row>
    <row r="686" spans="1:12" ht="12.75">
      <c r="A686" s="86"/>
      <c r="B686" s="86"/>
      <c r="C686" s="214"/>
      <c r="D686" s="270"/>
      <c r="E686" s="87"/>
      <c r="F686" s="200" t="s">
        <v>1300</v>
      </c>
      <c r="G686" s="35">
        <v>422100</v>
      </c>
      <c r="H686" s="4" t="s">
        <v>899</v>
      </c>
      <c r="I686" s="435">
        <v>50000</v>
      </c>
      <c r="J686" s="688">
        <v>190000</v>
      </c>
      <c r="K686" s="435">
        <v>140000</v>
      </c>
      <c r="L686" s="517"/>
    </row>
    <row r="687" spans="1:12" ht="12.75">
      <c r="A687" s="82"/>
      <c r="B687" s="82"/>
      <c r="C687" s="214"/>
      <c r="D687" s="270"/>
      <c r="E687" s="83"/>
      <c r="F687" s="200" t="s">
        <v>1301</v>
      </c>
      <c r="G687" s="35">
        <v>422300</v>
      </c>
      <c r="H687" s="4" t="s">
        <v>943</v>
      </c>
      <c r="I687" s="435">
        <v>0</v>
      </c>
      <c r="J687" s="435">
        <v>0</v>
      </c>
      <c r="K687" s="435">
        <v>0</v>
      </c>
      <c r="L687" s="517"/>
    </row>
    <row r="688" spans="1:12" s="22" customFormat="1" ht="13.5">
      <c r="A688" s="88"/>
      <c r="B688" s="88"/>
      <c r="C688" s="214"/>
      <c r="D688" s="270"/>
      <c r="E688" s="89"/>
      <c r="F688" s="200" t="s">
        <v>711</v>
      </c>
      <c r="G688" s="54">
        <v>423000</v>
      </c>
      <c r="H688" s="20" t="s">
        <v>794</v>
      </c>
      <c r="I688" s="434">
        <f>I689+I690+I691+I692+I693+I694+I695</f>
        <v>380000</v>
      </c>
      <c r="J688" s="434">
        <f>J689+J690+J691+J692+J693+J694+J695</f>
        <v>440000</v>
      </c>
      <c r="K688" s="434">
        <f>K689+K690+K691+K692+K693+K694+K695</f>
        <v>193017.11</v>
      </c>
      <c r="L688" s="517"/>
    </row>
    <row r="689" spans="1:12" ht="12.75">
      <c r="A689" s="86"/>
      <c r="B689" s="86"/>
      <c r="C689" s="214"/>
      <c r="D689" s="270"/>
      <c r="E689" s="87"/>
      <c r="F689" s="200" t="s">
        <v>1302</v>
      </c>
      <c r="G689" s="35">
        <v>423200</v>
      </c>
      <c r="H689" s="4" t="s">
        <v>901</v>
      </c>
      <c r="I689" s="435">
        <v>50000</v>
      </c>
      <c r="J689" s="435">
        <v>50000</v>
      </c>
      <c r="K689" s="435">
        <v>11550</v>
      </c>
      <c r="L689" s="517"/>
    </row>
    <row r="690" spans="1:12" ht="12.75">
      <c r="A690" s="82"/>
      <c r="B690" s="82"/>
      <c r="C690" s="214"/>
      <c r="D690" s="270"/>
      <c r="E690" s="83"/>
      <c r="F690" s="200" t="s">
        <v>1303</v>
      </c>
      <c r="G690" s="35">
        <v>423300</v>
      </c>
      <c r="H690" s="4" t="s">
        <v>902</v>
      </c>
      <c r="I690" s="435">
        <v>20000</v>
      </c>
      <c r="J690" s="688">
        <v>80000</v>
      </c>
      <c r="K690" s="435">
        <v>60000</v>
      </c>
      <c r="L690" s="517"/>
    </row>
    <row r="691" spans="1:12" ht="12.75">
      <c r="A691" s="82"/>
      <c r="B691" s="82"/>
      <c r="C691" s="214"/>
      <c r="D691" s="270"/>
      <c r="E691" s="83"/>
      <c r="F691" s="200" t="s">
        <v>1304</v>
      </c>
      <c r="G691" s="524">
        <v>423400</v>
      </c>
      <c r="H691" s="4" t="s">
        <v>884</v>
      </c>
      <c r="I691" s="435">
        <v>140000</v>
      </c>
      <c r="J691" s="435">
        <v>140000</v>
      </c>
      <c r="K691" s="435">
        <v>53824.11</v>
      </c>
      <c r="L691" s="517"/>
    </row>
    <row r="692" spans="1:12" ht="12.75">
      <c r="A692" s="82"/>
      <c r="B692" s="82"/>
      <c r="C692" s="214"/>
      <c r="D692" s="270"/>
      <c r="E692" s="83"/>
      <c r="F692" s="200" t="s">
        <v>714</v>
      </c>
      <c r="G692" s="524">
        <v>423500</v>
      </c>
      <c r="H692" s="4" t="s">
        <v>903</v>
      </c>
      <c r="I692" s="435">
        <v>20000</v>
      </c>
      <c r="J692" s="435">
        <v>20000</v>
      </c>
      <c r="K692" s="435">
        <v>0</v>
      </c>
      <c r="L692" s="517"/>
    </row>
    <row r="693" spans="1:12" ht="12.75">
      <c r="A693" s="82"/>
      <c r="B693" s="82"/>
      <c r="C693" s="214"/>
      <c r="D693" s="270"/>
      <c r="E693" s="83"/>
      <c r="F693" s="200" t="s">
        <v>1305</v>
      </c>
      <c r="G693" s="524">
        <v>423600</v>
      </c>
      <c r="H693" s="4" t="s">
        <v>904</v>
      </c>
      <c r="I693" s="435">
        <v>100000</v>
      </c>
      <c r="J693" s="435">
        <v>100000</v>
      </c>
      <c r="K693" s="435">
        <v>62565</v>
      </c>
      <c r="L693" s="517"/>
    </row>
    <row r="694" spans="1:12" ht="12.75">
      <c r="A694" s="82"/>
      <c r="B694" s="82"/>
      <c r="C694" s="214"/>
      <c r="D694" s="270"/>
      <c r="E694" s="83"/>
      <c r="F694" s="200" t="s">
        <v>1306</v>
      </c>
      <c r="G694" s="524">
        <v>423700</v>
      </c>
      <c r="H694" s="4" t="s">
        <v>905</v>
      </c>
      <c r="I694" s="435">
        <v>30000</v>
      </c>
      <c r="J694" s="435">
        <v>30000</v>
      </c>
      <c r="K694" s="435">
        <v>0</v>
      </c>
      <c r="L694" s="517"/>
    </row>
    <row r="695" spans="1:12" ht="12.75">
      <c r="A695" s="82"/>
      <c r="B695" s="82"/>
      <c r="C695" s="214"/>
      <c r="D695" s="270"/>
      <c r="E695" s="83"/>
      <c r="F695" s="200" t="s">
        <v>1307</v>
      </c>
      <c r="G695" s="524">
        <v>423900</v>
      </c>
      <c r="H695" s="4" t="s">
        <v>906</v>
      </c>
      <c r="I695" s="435">
        <v>20000</v>
      </c>
      <c r="J695" s="435">
        <v>20000</v>
      </c>
      <c r="K695" s="435">
        <v>5078</v>
      </c>
      <c r="L695" s="517"/>
    </row>
    <row r="696" spans="1:12" s="22" customFormat="1" ht="13.5">
      <c r="A696" s="88"/>
      <c r="B696" s="88"/>
      <c r="C696" s="214"/>
      <c r="D696" s="270"/>
      <c r="E696" s="89"/>
      <c r="F696" s="200" t="s">
        <v>1351</v>
      </c>
      <c r="G696" s="528">
        <v>424000</v>
      </c>
      <c r="H696" s="20" t="s">
        <v>800</v>
      </c>
      <c r="I696" s="434">
        <f>I697+I698</f>
        <v>0</v>
      </c>
      <c r="J696" s="434">
        <f>J697+J698</f>
        <v>0</v>
      </c>
      <c r="K696" s="434">
        <f>K697+K698</f>
        <v>0</v>
      </c>
      <c r="L696" s="517"/>
    </row>
    <row r="697" spans="1:12" ht="12.75">
      <c r="A697" s="86"/>
      <c r="B697" s="86"/>
      <c r="C697" s="214"/>
      <c r="D697" s="270"/>
      <c r="E697" s="87"/>
      <c r="F697" s="200" t="s">
        <v>1352</v>
      </c>
      <c r="G697" s="524">
        <v>424200</v>
      </c>
      <c r="H697" s="4" t="s">
        <v>907</v>
      </c>
      <c r="I697" s="435">
        <v>0</v>
      </c>
      <c r="J697" s="435">
        <v>0</v>
      </c>
      <c r="K697" s="435">
        <v>0</v>
      </c>
      <c r="L697" s="517"/>
    </row>
    <row r="698" spans="1:12" ht="12.75">
      <c r="A698" s="82"/>
      <c r="B698" s="82"/>
      <c r="C698" s="214"/>
      <c r="D698" s="270"/>
      <c r="E698" s="83"/>
      <c r="F698" s="200" t="s">
        <v>1353</v>
      </c>
      <c r="G698" s="524">
        <v>424900</v>
      </c>
      <c r="H698" s="4" t="s">
        <v>934</v>
      </c>
      <c r="I698" s="435">
        <v>0</v>
      </c>
      <c r="J698" s="435">
        <v>0</v>
      </c>
      <c r="K698" s="435">
        <v>0</v>
      </c>
      <c r="L698" s="517"/>
    </row>
    <row r="699" spans="1:12" s="22" customFormat="1" ht="13.5">
      <c r="A699" s="88"/>
      <c r="B699" s="88"/>
      <c r="C699" s="214"/>
      <c r="D699" s="270"/>
      <c r="E699" s="89"/>
      <c r="F699" s="200" t="s">
        <v>1308</v>
      </c>
      <c r="G699" s="528">
        <v>425000</v>
      </c>
      <c r="H699" s="20" t="s">
        <v>797</v>
      </c>
      <c r="I699" s="434">
        <f>I700+I701</f>
        <v>80000</v>
      </c>
      <c r="J699" s="434">
        <f>J700+J701</f>
        <v>80000</v>
      </c>
      <c r="K699" s="434">
        <f>K700+K701</f>
        <v>18044</v>
      </c>
      <c r="L699" s="517"/>
    </row>
    <row r="700" spans="1:12" ht="12.75">
      <c r="A700" s="86"/>
      <c r="B700" s="86"/>
      <c r="C700" s="214"/>
      <c r="D700" s="270"/>
      <c r="E700" s="87"/>
      <c r="F700" s="200" t="s">
        <v>1309</v>
      </c>
      <c r="G700" s="524">
        <v>425100</v>
      </c>
      <c r="H700" s="4" t="s">
        <v>909</v>
      </c>
      <c r="I700" s="435">
        <v>50000</v>
      </c>
      <c r="J700" s="435">
        <v>50000</v>
      </c>
      <c r="K700" s="435">
        <v>18044</v>
      </c>
      <c r="L700" s="517"/>
    </row>
    <row r="701" spans="1:12" ht="12.75">
      <c r="A701" s="82"/>
      <c r="B701" s="82"/>
      <c r="C701" s="214"/>
      <c r="D701" s="270"/>
      <c r="E701" s="83"/>
      <c r="F701" s="200" t="s">
        <v>1310</v>
      </c>
      <c r="G701" s="35">
        <v>425200</v>
      </c>
      <c r="H701" s="52" t="s">
        <v>910</v>
      </c>
      <c r="I701" s="435">
        <v>30000</v>
      </c>
      <c r="J701" s="435">
        <v>30000</v>
      </c>
      <c r="K701" s="435">
        <v>0</v>
      </c>
      <c r="L701" s="517"/>
    </row>
    <row r="702" spans="1:12" s="22" customFormat="1" ht="13.5">
      <c r="A702" s="88"/>
      <c r="B702" s="88"/>
      <c r="C702" s="214"/>
      <c r="D702" s="270"/>
      <c r="E702" s="89"/>
      <c r="F702" s="200" t="s">
        <v>1311</v>
      </c>
      <c r="G702" s="528">
        <v>426000</v>
      </c>
      <c r="H702" s="20" t="s">
        <v>795</v>
      </c>
      <c r="I702" s="434">
        <f>I703+I704+I705+I706+I707</f>
        <v>270000</v>
      </c>
      <c r="J702" s="434">
        <f>J703+J704+J705+J706+J707</f>
        <v>320000</v>
      </c>
      <c r="K702" s="434">
        <f>K703+K704+K705+K706+K707</f>
        <v>125000</v>
      </c>
      <c r="L702" s="517"/>
    </row>
    <row r="703" spans="1:12" ht="12.75">
      <c r="A703" s="86"/>
      <c r="B703" s="86"/>
      <c r="C703" s="214"/>
      <c r="D703" s="270"/>
      <c r="E703" s="87"/>
      <c r="F703" s="200" t="s">
        <v>1312</v>
      </c>
      <c r="G703" s="524">
        <v>426100</v>
      </c>
      <c r="H703" s="4" t="s">
        <v>911</v>
      </c>
      <c r="I703" s="435">
        <v>50000</v>
      </c>
      <c r="J703" s="688">
        <v>100000</v>
      </c>
      <c r="K703" s="435">
        <v>50000</v>
      </c>
      <c r="L703" s="517"/>
    </row>
    <row r="704" spans="1:13" ht="12.75">
      <c r="A704" s="82"/>
      <c r="B704" s="82"/>
      <c r="C704" s="214"/>
      <c r="D704" s="270"/>
      <c r="E704" s="83"/>
      <c r="F704" s="200" t="s">
        <v>1313</v>
      </c>
      <c r="G704" s="524">
        <v>426300</v>
      </c>
      <c r="H704" s="5" t="s">
        <v>922</v>
      </c>
      <c r="I704" s="435">
        <v>100000</v>
      </c>
      <c r="J704" s="435">
        <v>100000</v>
      </c>
      <c r="K704" s="435">
        <v>50700</v>
      </c>
      <c r="L704" s="517"/>
      <c r="M704" s="681"/>
    </row>
    <row r="705" spans="1:12" ht="12.75">
      <c r="A705" s="82"/>
      <c r="B705" s="82"/>
      <c r="C705" s="214"/>
      <c r="D705" s="270"/>
      <c r="E705" s="83"/>
      <c r="F705" s="200" t="s">
        <v>1314</v>
      </c>
      <c r="G705" s="524">
        <v>426400</v>
      </c>
      <c r="H705" s="4" t="s">
        <v>215</v>
      </c>
      <c r="I705" s="435">
        <v>20000</v>
      </c>
      <c r="J705" s="435">
        <v>20000</v>
      </c>
      <c r="K705" s="435">
        <v>0</v>
      </c>
      <c r="L705" s="517"/>
    </row>
    <row r="706" spans="1:12" ht="12.75">
      <c r="A706" s="82"/>
      <c r="B706" s="82"/>
      <c r="C706" s="214"/>
      <c r="D706" s="270"/>
      <c r="E706" s="83"/>
      <c r="F706" s="200" t="s">
        <v>1315</v>
      </c>
      <c r="G706" s="524">
        <v>426600</v>
      </c>
      <c r="H706" s="5" t="s">
        <v>213</v>
      </c>
      <c r="I706" s="435">
        <v>50000</v>
      </c>
      <c r="J706" s="435">
        <v>50000</v>
      </c>
      <c r="K706" s="435">
        <v>24300</v>
      </c>
      <c r="L706" s="517"/>
    </row>
    <row r="707" spans="1:12" ht="12.75">
      <c r="A707" s="82"/>
      <c r="B707" s="82"/>
      <c r="C707" s="214"/>
      <c r="D707" s="270"/>
      <c r="E707" s="83"/>
      <c r="F707" s="200" t="s">
        <v>1316</v>
      </c>
      <c r="G707" s="524">
        <v>426800</v>
      </c>
      <c r="H707" s="5" t="s">
        <v>913</v>
      </c>
      <c r="I707" s="435">
        <v>50000</v>
      </c>
      <c r="J707" s="435">
        <v>50000</v>
      </c>
      <c r="K707" s="435">
        <v>0</v>
      </c>
      <c r="L707" s="517"/>
    </row>
    <row r="708" spans="1:12" s="24" customFormat="1" ht="13.5">
      <c r="A708" s="84"/>
      <c r="B708" s="84"/>
      <c r="C708" s="215"/>
      <c r="D708" s="208"/>
      <c r="E708" s="85"/>
      <c r="F708" s="200" t="s">
        <v>1317</v>
      </c>
      <c r="G708" s="528" t="s">
        <v>381</v>
      </c>
      <c r="H708" s="23" t="s">
        <v>384</v>
      </c>
      <c r="I708" s="434">
        <f>I709</f>
        <v>2110000</v>
      </c>
      <c r="J708" s="434">
        <f>J709</f>
        <v>2110000</v>
      </c>
      <c r="K708" s="434">
        <f>K709</f>
        <v>1010576.28</v>
      </c>
      <c r="L708" s="517"/>
    </row>
    <row r="709" spans="1:12" ht="12.75">
      <c r="A709" s="82"/>
      <c r="B709" s="82"/>
      <c r="C709" s="214"/>
      <c r="D709" s="270"/>
      <c r="E709" s="83"/>
      <c r="F709" s="200" t="s">
        <v>1318</v>
      </c>
      <c r="G709" s="524" t="s">
        <v>382</v>
      </c>
      <c r="H709" s="5" t="s">
        <v>383</v>
      </c>
      <c r="I709" s="435">
        <v>2110000</v>
      </c>
      <c r="J709" s="435">
        <v>2110000</v>
      </c>
      <c r="K709" s="435">
        <v>1010576.28</v>
      </c>
      <c r="L709" s="517"/>
    </row>
    <row r="710" spans="1:12" s="22" customFormat="1" ht="13.5">
      <c r="A710" s="88"/>
      <c r="B710" s="88"/>
      <c r="C710" s="214"/>
      <c r="D710" s="270"/>
      <c r="E710" s="89"/>
      <c r="F710" s="200" t="s">
        <v>1361</v>
      </c>
      <c r="G710" s="528">
        <v>472000</v>
      </c>
      <c r="H710" s="23" t="s">
        <v>810</v>
      </c>
      <c r="I710" s="434">
        <f>I711</f>
        <v>0</v>
      </c>
      <c r="J710" s="434">
        <f>J711</f>
        <v>0</v>
      </c>
      <c r="K710" s="434">
        <f>K711</f>
        <v>0</v>
      </c>
      <c r="L710" s="517"/>
    </row>
    <row r="711" spans="1:12" ht="12.75">
      <c r="A711" s="86"/>
      <c r="B711" s="86"/>
      <c r="C711" s="214"/>
      <c r="D711" s="270"/>
      <c r="E711" s="87"/>
      <c r="F711" s="200" t="s">
        <v>1362</v>
      </c>
      <c r="G711" s="524">
        <v>472900</v>
      </c>
      <c r="H711" s="5" t="s">
        <v>886</v>
      </c>
      <c r="I711" s="435">
        <v>0</v>
      </c>
      <c r="J711" s="435">
        <v>0</v>
      </c>
      <c r="K711" s="435">
        <v>0</v>
      </c>
      <c r="L711" s="517"/>
    </row>
    <row r="712" spans="1:12" ht="12.75">
      <c r="A712" s="86"/>
      <c r="B712" s="86"/>
      <c r="C712" s="214"/>
      <c r="D712" s="270"/>
      <c r="E712" s="87"/>
      <c r="F712" s="200"/>
      <c r="G712" s="74" t="s">
        <v>618</v>
      </c>
      <c r="H712" s="39" t="s">
        <v>860</v>
      </c>
      <c r="I712" s="436">
        <f>I713</f>
        <v>850000</v>
      </c>
      <c r="J712" s="436">
        <f>J713</f>
        <v>850000</v>
      </c>
      <c r="K712" s="436">
        <f>K713</f>
        <v>0</v>
      </c>
      <c r="L712" s="517"/>
    </row>
    <row r="713" spans="1:12" ht="12.75">
      <c r="A713" s="86"/>
      <c r="B713" s="86"/>
      <c r="C713" s="214"/>
      <c r="D713" s="270"/>
      <c r="E713" s="87"/>
      <c r="F713" s="200"/>
      <c r="G713" s="35" t="s">
        <v>614</v>
      </c>
      <c r="H713" s="52" t="s">
        <v>860</v>
      </c>
      <c r="I713" s="435">
        <v>850000</v>
      </c>
      <c r="J713" s="435">
        <v>850000</v>
      </c>
      <c r="K713" s="435">
        <v>0</v>
      </c>
      <c r="L713" s="517"/>
    </row>
    <row r="714" spans="1:12" s="22" customFormat="1" ht="13.5">
      <c r="A714" s="88"/>
      <c r="B714" s="88"/>
      <c r="C714" s="214"/>
      <c r="D714" s="270"/>
      <c r="E714" s="89"/>
      <c r="F714" s="200" t="s">
        <v>1319</v>
      </c>
      <c r="G714" s="528">
        <v>512000</v>
      </c>
      <c r="H714" s="25" t="s">
        <v>796</v>
      </c>
      <c r="I714" s="434">
        <f>I715+I716</f>
        <v>100000</v>
      </c>
      <c r="J714" s="434">
        <f>J715+J716</f>
        <v>100000</v>
      </c>
      <c r="K714" s="434">
        <f>K715+K716</f>
        <v>0</v>
      </c>
      <c r="L714" s="517"/>
    </row>
    <row r="715" spans="1:12" ht="12.75">
      <c r="A715" s="86"/>
      <c r="B715" s="86"/>
      <c r="C715" s="214"/>
      <c r="D715" s="270"/>
      <c r="E715" s="87"/>
      <c r="F715" s="200" t="s">
        <v>1320</v>
      </c>
      <c r="G715" s="524">
        <v>512200</v>
      </c>
      <c r="H715" s="6" t="s">
        <v>916</v>
      </c>
      <c r="I715" s="435">
        <v>50000</v>
      </c>
      <c r="J715" s="435">
        <v>50000</v>
      </c>
      <c r="K715" s="435">
        <v>0</v>
      </c>
      <c r="L715" s="517"/>
    </row>
    <row r="716" spans="1:12" ht="12.75">
      <c r="A716" s="82"/>
      <c r="B716" s="82"/>
      <c r="C716" s="214"/>
      <c r="D716" s="270"/>
      <c r="E716" s="83"/>
      <c r="F716" s="200" t="s">
        <v>1321</v>
      </c>
      <c r="G716" s="524">
        <v>512600</v>
      </c>
      <c r="H716" s="6" t="s">
        <v>936</v>
      </c>
      <c r="I716" s="435">
        <v>50000</v>
      </c>
      <c r="J716" s="435">
        <v>50000</v>
      </c>
      <c r="K716" s="435">
        <v>0</v>
      </c>
      <c r="L716" s="517"/>
    </row>
    <row r="717" spans="1:12" s="22" customFormat="1" ht="13.5">
      <c r="A717" s="88"/>
      <c r="B717" s="88"/>
      <c r="C717" s="214"/>
      <c r="D717" s="270"/>
      <c r="E717" s="89"/>
      <c r="F717" s="200" t="s">
        <v>1322</v>
      </c>
      <c r="G717" s="528">
        <v>515000</v>
      </c>
      <c r="H717" s="25" t="s">
        <v>858</v>
      </c>
      <c r="I717" s="434">
        <f>I718</f>
        <v>500000</v>
      </c>
      <c r="J717" s="434">
        <f>J718</f>
        <v>500000</v>
      </c>
      <c r="K717" s="434">
        <f>K718</f>
        <v>64601.8</v>
      </c>
      <c r="L717" s="517"/>
    </row>
    <row r="718" spans="1:12" ht="12.75">
      <c r="A718" s="86"/>
      <c r="B718" s="86"/>
      <c r="C718" s="214"/>
      <c r="D718" s="270"/>
      <c r="E718" s="87"/>
      <c r="F718" s="200" t="s">
        <v>1323</v>
      </c>
      <c r="G718" s="524">
        <v>515100</v>
      </c>
      <c r="H718" s="6" t="s">
        <v>858</v>
      </c>
      <c r="I718" s="435">
        <v>500000</v>
      </c>
      <c r="J718" s="435">
        <v>500000</v>
      </c>
      <c r="K718" s="435">
        <v>64601.8</v>
      </c>
      <c r="L718" s="517"/>
    </row>
    <row r="719" spans="1:12" s="36" customFormat="1" ht="12.75">
      <c r="A719" s="82"/>
      <c r="B719" s="82"/>
      <c r="C719" s="214"/>
      <c r="D719" s="270"/>
      <c r="E719" s="83"/>
      <c r="F719" s="200"/>
      <c r="G719" s="524"/>
      <c r="H719" s="290"/>
      <c r="I719" s="435"/>
      <c r="J719" s="435"/>
      <c r="K719" s="435"/>
      <c r="L719" s="517"/>
    </row>
    <row r="720" spans="1:12" s="36" customFormat="1" ht="12.75">
      <c r="A720" s="82"/>
      <c r="B720" s="82"/>
      <c r="C720" s="214"/>
      <c r="D720" s="270"/>
      <c r="E720" s="83"/>
      <c r="F720" s="200"/>
      <c r="G720" s="524"/>
      <c r="H720" s="292" t="s">
        <v>636</v>
      </c>
      <c r="I720" s="665">
        <f>I685+I688+I699+I702+I708+I712+I714+I717</f>
        <v>4340000</v>
      </c>
      <c r="J720" s="436">
        <f>J685+J688+J699+J702+J708+J712+J714+J717</f>
        <v>4590000</v>
      </c>
      <c r="K720" s="603">
        <f>K685+K688+K699+K702+K708+K712+K714+K717</f>
        <v>1551239.1900000002</v>
      </c>
      <c r="L720" s="517"/>
    </row>
    <row r="721" spans="1:12" s="36" customFormat="1" ht="12.75">
      <c r="A721" s="82"/>
      <c r="B721" s="82"/>
      <c r="C721" s="214"/>
      <c r="D721" s="270"/>
      <c r="E721" s="83"/>
      <c r="F721" s="200"/>
      <c r="G721" s="524"/>
      <c r="H721" s="292"/>
      <c r="I721" s="436"/>
      <c r="J721" s="436"/>
      <c r="K721" s="436"/>
      <c r="L721" s="517"/>
    </row>
    <row r="722" spans="1:12" s="22" customFormat="1" ht="18" customHeight="1">
      <c r="A722" s="88"/>
      <c r="B722" s="88"/>
      <c r="C722" s="214"/>
      <c r="D722" s="274" t="s">
        <v>504</v>
      </c>
      <c r="E722" s="89"/>
      <c r="F722" s="200"/>
      <c r="G722" s="527"/>
      <c r="H722" s="136" t="s">
        <v>640</v>
      </c>
      <c r="I722" s="432"/>
      <c r="J722" s="432"/>
      <c r="K722" s="432"/>
      <c r="L722" s="517"/>
    </row>
    <row r="723" spans="1:12" s="22" customFormat="1" ht="13.5">
      <c r="A723" s="88"/>
      <c r="B723" s="88"/>
      <c r="C723" s="214"/>
      <c r="D723" s="270"/>
      <c r="E723" s="89">
        <v>820</v>
      </c>
      <c r="F723" s="200"/>
      <c r="G723" s="534"/>
      <c r="H723" s="91" t="s">
        <v>250</v>
      </c>
      <c r="I723" s="449"/>
      <c r="J723" s="449"/>
      <c r="K723" s="449"/>
      <c r="L723" s="517"/>
    </row>
    <row r="724" spans="1:12" s="22" customFormat="1" ht="13.5">
      <c r="A724" s="88"/>
      <c r="B724" s="88"/>
      <c r="C724" s="214"/>
      <c r="D724" s="270"/>
      <c r="E724" s="89"/>
      <c r="F724" s="200" t="s">
        <v>1324</v>
      </c>
      <c r="G724" s="528">
        <v>424000</v>
      </c>
      <c r="H724" s="20" t="s">
        <v>800</v>
      </c>
      <c r="I724" s="434">
        <f>I725+I726</f>
        <v>580000</v>
      </c>
      <c r="J724" s="434">
        <f>J725+J726</f>
        <v>580000</v>
      </c>
      <c r="K724" s="434">
        <f>K725+K726</f>
        <v>71500</v>
      </c>
      <c r="L724" s="517"/>
    </row>
    <row r="725" spans="1:12" ht="12.75">
      <c r="A725" s="86"/>
      <c r="B725" s="86"/>
      <c r="C725" s="214"/>
      <c r="D725" s="270"/>
      <c r="E725" s="87"/>
      <c r="F725" s="200" t="s">
        <v>1325</v>
      </c>
      <c r="G725" s="524">
        <v>424200</v>
      </c>
      <c r="H725" s="4" t="s">
        <v>907</v>
      </c>
      <c r="I725" s="435">
        <v>500000</v>
      </c>
      <c r="J725" s="658">
        <v>500000</v>
      </c>
      <c r="K725" s="435">
        <v>56500</v>
      </c>
      <c r="L725" s="517"/>
    </row>
    <row r="726" spans="1:12" ht="12.75">
      <c r="A726" s="82"/>
      <c r="B726" s="82"/>
      <c r="C726" s="214"/>
      <c r="D726" s="270"/>
      <c r="E726" s="83"/>
      <c r="F726" s="200" t="s">
        <v>1326</v>
      </c>
      <c r="G726" s="524">
        <v>424900</v>
      </c>
      <c r="H726" s="4" t="s">
        <v>934</v>
      </c>
      <c r="I726" s="435">
        <v>80000</v>
      </c>
      <c r="J726" s="435">
        <v>80000</v>
      </c>
      <c r="K726" s="435">
        <v>15000</v>
      </c>
      <c r="L726" s="517"/>
    </row>
    <row r="727" spans="1:12" s="36" customFormat="1" ht="12.75">
      <c r="A727" s="82"/>
      <c r="B727" s="82"/>
      <c r="C727" s="214"/>
      <c r="D727" s="270"/>
      <c r="E727" s="83"/>
      <c r="F727" s="200"/>
      <c r="G727" s="524"/>
      <c r="H727" s="290"/>
      <c r="I727" s="435"/>
      <c r="J727" s="435"/>
      <c r="K727" s="435"/>
      <c r="L727" s="517"/>
    </row>
    <row r="728" spans="1:12" s="36" customFormat="1" ht="12.75">
      <c r="A728" s="82"/>
      <c r="B728" s="82"/>
      <c r="C728" s="214"/>
      <c r="D728" s="270"/>
      <c r="E728" s="83"/>
      <c r="F728" s="200"/>
      <c r="G728" s="524"/>
      <c r="H728" s="292" t="s">
        <v>639</v>
      </c>
      <c r="I728" s="436">
        <f>I724</f>
        <v>580000</v>
      </c>
      <c r="J728" s="436">
        <f>J724</f>
        <v>580000</v>
      </c>
      <c r="K728" s="603">
        <f>K724</f>
        <v>71500</v>
      </c>
      <c r="L728" s="517"/>
    </row>
    <row r="729" spans="1:12" s="36" customFormat="1" ht="12.75">
      <c r="A729" s="86"/>
      <c r="B729" s="86"/>
      <c r="C729" s="214"/>
      <c r="D729" s="270"/>
      <c r="E729" s="87"/>
      <c r="F729" s="200"/>
      <c r="G729" s="35"/>
      <c r="H729" s="7"/>
      <c r="I729" s="435"/>
      <c r="J729" s="435"/>
      <c r="K729" s="435"/>
      <c r="L729" s="517"/>
    </row>
    <row r="730" spans="1:12" s="36" customFormat="1" ht="12.75">
      <c r="A730" s="474"/>
      <c r="B730" s="474"/>
      <c r="C730" s="475"/>
      <c r="D730" s="476"/>
      <c r="E730" s="477"/>
      <c r="F730" s="478"/>
      <c r="G730" s="483"/>
      <c r="H730" s="484" t="s">
        <v>13</v>
      </c>
      <c r="I730" s="481">
        <f>I720+I681+I728</f>
        <v>26848700</v>
      </c>
      <c r="J730" s="481">
        <f>J720+J681+J728</f>
        <v>27098700</v>
      </c>
      <c r="K730" s="481">
        <f>K728+K720+K681</f>
        <v>12235868.569999998</v>
      </c>
      <c r="L730" s="517"/>
    </row>
    <row r="731" spans="1:12" s="36" customFormat="1" ht="13.5" thickBot="1">
      <c r="A731" s="294"/>
      <c r="B731" s="294"/>
      <c r="C731" s="295"/>
      <c r="D731" s="296"/>
      <c r="E731" s="297"/>
      <c r="F731" s="298"/>
      <c r="G731" s="299"/>
      <c r="H731" s="304"/>
      <c r="I731" s="440"/>
      <c r="J731" s="440"/>
      <c r="K731" s="440"/>
      <c r="L731" s="517"/>
    </row>
    <row r="732" spans="1:12" s="22" customFormat="1" ht="21" customHeight="1" thickBot="1" thickTop="1">
      <c r="A732" s="104"/>
      <c r="B732" s="104">
        <v>18</v>
      </c>
      <c r="C732" s="213" t="s">
        <v>184</v>
      </c>
      <c r="D732" s="267"/>
      <c r="E732" s="105"/>
      <c r="F732" s="198"/>
      <c r="G732" s="525"/>
      <c r="H732" s="106" t="s">
        <v>214</v>
      </c>
      <c r="I732" s="457"/>
      <c r="J732" s="457"/>
      <c r="K732" s="457"/>
      <c r="L732" s="517"/>
    </row>
    <row r="733" spans="1:12" s="22" customFormat="1" ht="12.75" customHeight="1" thickTop="1">
      <c r="A733" s="283"/>
      <c r="B733" s="283"/>
      <c r="C733" s="284"/>
      <c r="D733" s="285" t="s">
        <v>648</v>
      </c>
      <c r="E733" s="286"/>
      <c r="F733" s="301"/>
      <c r="G733" s="526"/>
      <c r="H733" s="288" t="s">
        <v>646</v>
      </c>
      <c r="I733" s="431"/>
      <c r="J733" s="431"/>
      <c r="K733" s="431"/>
      <c r="L733" s="517"/>
    </row>
    <row r="734" spans="1:12" s="22" customFormat="1" ht="18" customHeight="1">
      <c r="A734" s="88"/>
      <c r="B734" s="88"/>
      <c r="C734" s="214"/>
      <c r="D734" s="274" t="s">
        <v>649</v>
      </c>
      <c r="E734" s="89"/>
      <c r="F734" s="200"/>
      <c r="G734" s="527"/>
      <c r="H734" s="125" t="s">
        <v>647</v>
      </c>
      <c r="I734" s="432"/>
      <c r="J734" s="432"/>
      <c r="K734" s="432"/>
      <c r="L734" s="517"/>
    </row>
    <row r="735" spans="1:12" s="22" customFormat="1" ht="13.5">
      <c r="A735" s="88"/>
      <c r="B735" s="88"/>
      <c r="C735" s="214"/>
      <c r="D735" s="270"/>
      <c r="E735" s="89">
        <v>820</v>
      </c>
      <c r="F735" s="200"/>
      <c r="G735" s="534"/>
      <c r="H735" s="91" t="s">
        <v>250</v>
      </c>
      <c r="I735" s="449"/>
      <c r="J735" s="449"/>
      <c r="K735" s="449"/>
      <c r="L735" s="517"/>
    </row>
    <row r="736" spans="1:12" s="22" customFormat="1" ht="13.5">
      <c r="A736" s="88"/>
      <c r="B736" s="88"/>
      <c r="C736" s="214"/>
      <c r="D736" s="270"/>
      <c r="E736" s="89"/>
      <c r="F736" s="200" t="s">
        <v>1327</v>
      </c>
      <c r="G736" s="54">
        <v>411000</v>
      </c>
      <c r="H736" s="20" t="s">
        <v>866</v>
      </c>
      <c r="I736" s="434">
        <f>I737</f>
        <v>11208000</v>
      </c>
      <c r="J736" s="434">
        <f>J737</f>
        <v>11058000</v>
      </c>
      <c r="K736" s="434">
        <f>K737</f>
        <v>4696702.41</v>
      </c>
      <c r="L736" s="517"/>
    </row>
    <row r="737" spans="1:12" ht="12.75">
      <c r="A737" s="86"/>
      <c r="B737" s="86"/>
      <c r="C737" s="214"/>
      <c r="D737" s="270"/>
      <c r="E737" s="87"/>
      <c r="F737" s="200" t="s">
        <v>525</v>
      </c>
      <c r="G737" s="35">
        <v>411100</v>
      </c>
      <c r="H737" s="4" t="s">
        <v>878</v>
      </c>
      <c r="I737" s="435">
        <v>11208000</v>
      </c>
      <c r="J737" s="688">
        <v>11058000</v>
      </c>
      <c r="K737" s="435">
        <v>4696702.41</v>
      </c>
      <c r="L737" s="517"/>
    </row>
    <row r="738" spans="1:12" s="22" customFormat="1" ht="13.5">
      <c r="A738" s="88"/>
      <c r="B738" s="88"/>
      <c r="C738" s="214"/>
      <c r="D738" s="270"/>
      <c r="E738" s="89"/>
      <c r="F738" s="200" t="s">
        <v>1328</v>
      </c>
      <c r="G738" s="54">
        <v>412000</v>
      </c>
      <c r="H738" s="20" t="s">
        <v>801</v>
      </c>
      <c r="I738" s="434">
        <f>I739+I740+I741</f>
        <v>2020500</v>
      </c>
      <c r="J738" s="434">
        <f>J739+J740+J741</f>
        <v>2020500</v>
      </c>
      <c r="K738" s="434">
        <f>K739+K740+K741</f>
        <v>840709.7300000001</v>
      </c>
      <c r="L738" s="517"/>
    </row>
    <row r="739" spans="1:12" ht="12.75">
      <c r="A739" s="86"/>
      <c r="B739" s="86"/>
      <c r="C739" s="214"/>
      <c r="D739" s="270"/>
      <c r="E739" s="87"/>
      <c r="F739" s="200" t="s">
        <v>1329</v>
      </c>
      <c r="G739" s="35">
        <v>412100</v>
      </c>
      <c r="H739" s="4" t="s">
        <v>879</v>
      </c>
      <c r="I739" s="435">
        <v>1351000</v>
      </c>
      <c r="J739" s="435">
        <v>1351000</v>
      </c>
      <c r="K739" s="435">
        <v>563604.29</v>
      </c>
      <c r="L739" s="517"/>
    </row>
    <row r="740" spans="1:12" ht="12.75">
      <c r="A740" s="82"/>
      <c r="B740" s="82"/>
      <c r="C740" s="214"/>
      <c r="D740" s="270"/>
      <c r="E740" s="83"/>
      <c r="F740" s="200" t="s">
        <v>1330</v>
      </c>
      <c r="G740" s="35">
        <v>412200</v>
      </c>
      <c r="H740" s="4" t="s">
        <v>880</v>
      </c>
      <c r="I740" s="435">
        <v>582000</v>
      </c>
      <c r="J740" s="435">
        <v>582000</v>
      </c>
      <c r="K740" s="435">
        <v>241880.17</v>
      </c>
      <c r="L740" s="517"/>
    </row>
    <row r="741" spans="1:12" ht="12.75">
      <c r="A741" s="82"/>
      <c r="B741" s="82"/>
      <c r="C741" s="214"/>
      <c r="D741" s="270"/>
      <c r="E741" s="83"/>
      <c r="F741" s="200" t="s">
        <v>1331</v>
      </c>
      <c r="G741" s="35">
        <v>412300</v>
      </c>
      <c r="H741" s="4" t="s">
        <v>881</v>
      </c>
      <c r="I741" s="435">
        <v>87500</v>
      </c>
      <c r="J741" s="435">
        <v>87500</v>
      </c>
      <c r="K741" s="435">
        <v>35225.27</v>
      </c>
      <c r="L741" s="517"/>
    </row>
    <row r="742" spans="1:12" s="22" customFormat="1" ht="13.5">
      <c r="A742" s="88"/>
      <c r="B742" s="88"/>
      <c r="C742" s="214"/>
      <c r="D742" s="270"/>
      <c r="E742" s="89"/>
      <c r="F742" s="200" t="s">
        <v>1332</v>
      </c>
      <c r="G742" s="54">
        <v>414000</v>
      </c>
      <c r="H742" s="20" t="s">
        <v>792</v>
      </c>
      <c r="I742" s="434">
        <f>I743</f>
        <v>545000</v>
      </c>
      <c r="J742" s="434">
        <f>J743</f>
        <v>695000</v>
      </c>
      <c r="K742" s="434">
        <f>K743</f>
        <v>238647.78</v>
      </c>
      <c r="L742" s="517"/>
    </row>
    <row r="743" spans="1:12" ht="12.75">
      <c r="A743" s="82"/>
      <c r="B743" s="82"/>
      <c r="C743" s="214"/>
      <c r="D743" s="270"/>
      <c r="E743" s="83"/>
      <c r="F743" s="200" t="s">
        <v>1333</v>
      </c>
      <c r="G743" s="35">
        <v>414300</v>
      </c>
      <c r="H743" s="4" t="s">
        <v>893</v>
      </c>
      <c r="I743" s="435">
        <v>545000</v>
      </c>
      <c r="J743" s="688">
        <v>695000</v>
      </c>
      <c r="K743" s="435">
        <v>238647.78</v>
      </c>
      <c r="L743" s="517"/>
    </row>
    <row r="744" spans="1:12" s="22" customFormat="1" ht="13.5">
      <c r="A744" s="88"/>
      <c r="B744" s="88"/>
      <c r="C744" s="214"/>
      <c r="D744" s="270"/>
      <c r="E744" s="89"/>
      <c r="F744" s="200" t="s">
        <v>1334</v>
      </c>
      <c r="G744" s="54">
        <v>415000</v>
      </c>
      <c r="H744" s="20" t="s">
        <v>852</v>
      </c>
      <c r="I744" s="434">
        <f>I745</f>
        <v>530000</v>
      </c>
      <c r="J744" s="434">
        <f>J745</f>
        <v>530000</v>
      </c>
      <c r="K744" s="434">
        <f>K745</f>
        <v>208257.36</v>
      </c>
      <c r="L744" s="517"/>
    </row>
    <row r="745" spans="1:12" ht="12.75">
      <c r="A745" s="86"/>
      <c r="B745" s="86"/>
      <c r="C745" s="214"/>
      <c r="D745" s="270"/>
      <c r="E745" s="87"/>
      <c r="F745" s="200" t="s">
        <v>1335</v>
      </c>
      <c r="G745" s="35">
        <v>415100</v>
      </c>
      <c r="H745" s="4" t="s">
        <v>852</v>
      </c>
      <c r="I745" s="435">
        <v>530000</v>
      </c>
      <c r="J745" s="435">
        <v>530000</v>
      </c>
      <c r="K745" s="435">
        <v>208257.36</v>
      </c>
      <c r="L745" s="517"/>
    </row>
    <row r="746" spans="1:12" s="22" customFormat="1" ht="13.5">
      <c r="A746" s="88"/>
      <c r="B746" s="88"/>
      <c r="C746" s="214"/>
      <c r="D746" s="270"/>
      <c r="E746" s="89"/>
      <c r="F746" s="200" t="s">
        <v>1336</v>
      </c>
      <c r="G746" s="54">
        <v>416000</v>
      </c>
      <c r="H746" s="20" t="s">
        <v>853</v>
      </c>
      <c r="I746" s="434">
        <f>I747</f>
        <v>450000</v>
      </c>
      <c r="J746" s="434">
        <f>J747</f>
        <v>450000</v>
      </c>
      <c r="K746" s="434">
        <f>K747</f>
        <v>0</v>
      </c>
      <c r="L746" s="517"/>
    </row>
    <row r="747" spans="1:12" ht="12.75">
      <c r="A747" s="86"/>
      <c r="B747" s="86"/>
      <c r="C747" s="214"/>
      <c r="D747" s="270"/>
      <c r="E747" s="87"/>
      <c r="F747" s="200" t="s">
        <v>1337</v>
      </c>
      <c r="G747" s="35">
        <v>416100</v>
      </c>
      <c r="H747" s="4" t="s">
        <v>853</v>
      </c>
      <c r="I747" s="435">
        <v>450000</v>
      </c>
      <c r="J747" s="435">
        <v>450000</v>
      </c>
      <c r="K747" s="435">
        <v>0</v>
      </c>
      <c r="L747" s="517"/>
    </row>
    <row r="748" spans="1:12" s="22" customFormat="1" ht="13.5">
      <c r="A748" s="88"/>
      <c r="B748" s="88"/>
      <c r="C748" s="214"/>
      <c r="D748" s="270"/>
      <c r="E748" s="89"/>
      <c r="F748" s="200" t="s">
        <v>1338</v>
      </c>
      <c r="G748" s="54">
        <v>421000</v>
      </c>
      <c r="H748" s="20" t="s">
        <v>799</v>
      </c>
      <c r="I748" s="434">
        <f>I749+I750+I751+I752+I753</f>
        <v>543000</v>
      </c>
      <c r="J748" s="434">
        <f>J749+J750+J751+J752+J753</f>
        <v>543000</v>
      </c>
      <c r="K748" s="434">
        <f>K749+K750+K751+K752+K753</f>
        <v>269001.33999999997</v>
      </c>
      <c r="L748" s="517"/>
    </row>
    <row r="749" spans="1:12" ht="12.75">
      <c r="A749" s="86"/>
      <c r="B749" s="86"/>
      <c r="C749" s="214"/>
      <c r="D749" s="270"/>
      <c r="E749" s="87"/>
      <c r="F749" s="200" t="s">
        <v>1339</v>
      </c>
      <c r="G749" s="35">
        <v>421100</v>
      </c>
      <c r="H749" s="4" t="s">
        <v>894</v>
      </c>
      <c r="I749" s="435">
        <v>41000</v>
      </c>
      <c r="J749" s="435">
        <v>41000</v>
      </c>
      <c r="K749" s="435">
        <v>12076.37</v>
      </c>
      <c r="L749" s="517"/>
    </row>
    <row r="750" spans="1:12" ht="12.75">
      <c r="A750" s="82"/>
      <c r="B750" s="82"/>
      <c r="C750" s="214"/>
      <c r="D750" s="270"/>
      <c r="E750" s="83"/>
      <c r="F750" s="200" t="s">
        <v>1340</v>
      </c>
      <c r="G750" s="35">
        <v>421200</v>
      </c>
      <c r="H750" s="4" t="s">
        <v>920</v>
      </c>
      <c r="I750" s="435">
        <v>404000</v>
      </c>
      <c r="J750" s="435">
        <v>404000</v>
      </c>
      <c r="K750" s="435">
        <v>211938.83</v>
      </c>
      <c r="L750" s="517"/>
    </row>
    <row r="751" spans="1:12" ht="12.75">
      <c r="A751" s="82"/>
      <c r="B751" s="82"/>
      <c r="C751" s="214"/>
      <c r="D751" s="270"/>
      <c r="E751" s="83"/>
      <c r="F751" s="200" t="s">
        <v>1341</v>
      </c>
      <c r="G751" s="524">
        <v>421300</v>
      </c>
      <c r="H751" s="5" t="s">
        <v>896</v>
      </c>
      <c r="I751" s="435">
        <v>39000</v>
      </c>
      <c r="J751" s="435">
        <v>39000</v>
      </c>
      <c r="K751" s="435">
        <v>18882.14</v>
      </c>
      <c r="L751" s="517"/>
    </row>
    <row r="752" spans="1:12" ht="12.75">
      <c r="A752" s="82"/>
      <c r="B752" s="82"/>
      <c r="C752" s="214"/>
      <c r="D752" s="270"/>
      <c r="E752" s="83"/>
      <c r="F752" s="200" t="s">
        <v>1342</v>
      </c>
      <c r="G752" s="524">
        <v>421400</v>
      </c>
      <c r="H752" s="5" t="s">
        <v>883</v>
      </c>
      <c r="I752" s="435">
        <v>39500</v>
      </c>
      <c r="J752" s="435">
        <v>39500</v>
      </c>
      <c r="K752" s="435">
        <v>10400</v>
      </c>
      <c r="L752" s="517"/>
    </row>
    <row r="753" spans="1:12" ht="12.75">
      <c r="A753" s="82"/>
      <c r="B753" s="82"/>
      <c r="C753" s="214"/>
      <c r="D753" s="270"/>
      <c r="E753" s="83"/>
      <c r="F753" s="200" t="s">
        <v>1343</v>
      </c>
      <c r="G753" s="35">
        <v>421500</v>
      </c>
      <c r="H753" s="4" t="s">
        <v>897</v>
      </c>
      <c r="I753" s="435">
        <v>19500</v>
      </c>
      <c r="J753" s="435">
        <v>19500</v>
      </c>
      <c r="K753" s="435">
        <v>15704</v>
      </c>
      <c r="L753" s="517"/>
    </row>
    <row r="754" spans="1:12" s="22" customFormat="1" ht="13.5">
      <c r="A754" s="88"/>
      <c r="B754" s="88"/>
      <c r="C754" s="214"/>
      <c r="D754" s="270"/>
      <c r="E754" s="89"/>
      <c r="F754" s="200" t="s">
        <v>1344</v>
      </c>
      <c r="G754" s="54">
        <v>422000</v>
      </c>
      <c r="H754" s="20" t="s">
        <v>793</v>
      </c>
      <c r="I754" s="434">
        <f>I755</f>
        <v>30000</v>
      </c>
      <c r="J754" s="434">
        <f>J755</f>
        <v>30000</v>
      </c>
      <c r="K754" s="434">
        <f>K755</f>
        <v>0</v>
      </c>
      <c r="L754" s="517"/>
    </row>
    <row r="755" spans="1:12" ht="12.75">
      <c r="A755" s="86"/>
      <c r="B755" s="86"/>
      <c r="C755" s="214"/>
      <c r="D755" s="270"/>
      <c r="E755" s="87"/>
      <c r="F755" s="200" t="s">
        <v>1345</v>
      </c>
      <c r="G755" s="35">
        <v>422100</v>
      </c>
      <c r="H755" s="4" t="s">
        <v>899</v>
      </c>
      <c r="I755" s="435">
        <v>30000</v>
      </c>
      <c r="J755" s="435">
        <v>30000</v>
      </c>
      <c r="K755" s="435">
        <v>0</v>
      </c>
      <c r="L755" s="517"/>
    </row>
    <row r="756" spans="1:12" s="22" customFormat="1" ht="13.5">
      <c r="A756" s="88"/>
      <c r="B756" s="88"/>
      <c r="C756" s="214"/>
      <c r="D756" s="270"/>
      <c r="E756" s="89"/>
      <c r="F756" s="200" t="s">
        <v>1346</v>
      </c>
      <c r="G756" s="54">
        <v>423000</v>
      </c>
      <c r="H756" s="20" t="s">
        <v>794</v>
      </c>
      <c r="I756" s="434">
        <f>I757+I758</f>
        <v>140000</v>
      </c>
      <c r="J756" s="434">
        <f>J757+J758</f>
        <v>140000</v>
      </c>
      <c r="K756" s="434">
        <f>K757+K758</f>
        <v>0</v>
      </c>
      <c r="L756" s="517"/>
    </row>
    <row r="757" spans="1:12" ht="12.75">
      <c r="A757" s="86"/>
      <c r="B757" s="86"/>
      <c r="C757" s="214"/>
      <c r="D757" s="270"/>
      <c r="E757" s="87"/>
      <c r="F757" s="200" t="s">
        <v>1347</v>
      </c>
      <c r="G757" s="35">
        <v>423200</v>
      </c>
      <c r="H757" s="4" t="s">
        <v>901</v>
      </c>
      <c r="I757" s="435">
        <v>10000</v>
      </c>
      <c r="J757" s="435">
        <v>10000</v>
      </c>
      <c r="K757" s="435">
        <v>0</v>
      </c>
      <c r="L757" s="517"/>
    </row>
    <row r="758" spans="1:12" ht="12.75">
      <c r="A758" s="82"/>
      <c r="B758" s="82"/>
      <c r="C758" s="214"/>
      <c r="D758" s="270"/>
      <c r="E758" s="83"/>
      <c r="F758" s="200" t="s">
        <v>1348</v>
      </c>
      <c r="G758" s="35">
        <v>423400</v>
      </c>
      <c r="H758" s="4" t="s">
        <v>884</v>
      </c>
      <c r="I758" s="435">
        <v>130000</v>
      </c>
      <c r="J758" s="435">
        <v>130000</v>
      </c>
      <c r="K758" s="435">
        <v>0</v>
      </c>
      <c r="L758" s="517"/>
    </row>
    <row r="759" spans="1:12" s="22" customFormat="1" ht="13.5">
      <c r="A759" s="88"/>
      <c r="B759" s="88"/>
      <c r="C759" s="214"/>
      <c r="D759" s="270"/>
      <c r="E759" s="89"/>
      <c r="F759" s="200" t="s">
        <v>1349</v>
      </c>
      <c r="G759" s="528">
        <v>424000</v>
      </c>
      <c r="H759" s="20" t="s">
        <v>800</v>
      </c>
      <c r="I759" s="434">
        <f>I760+I761</f>
        <v>115000</v>
      </c>
      <c r="J759" s="434">
        <f>J760+J761</f>
        <v>115000</v>
      </c>
      <c r="K759" s="434">
        <f>K760+K761</f>
        <v>18000</v>
      </c>
      <c r="L759" s="517"/>
    </row>
    <row r="760" spans="1:12" ht="12.75">
      <c r="A760" s="86"/>
      <c r="B760" s="86"/>
      <c r="C760" s="214"/>
      <c r="D760" s="270"/>
      <c r="E760" s="87"/>
      <c r="F760" s="200" t="s">
        <v>1350</v>
      </c>
      <c r="G760" s="524">
        <v>424200</v>
      </c>
      <c r="H760" s="4" t="s">
        <v>907</v>
      </c>
      <c r="I760" s="435">
        <v>65000</v>
      </c>
      <c r="J760" s="435">
        <v>65000</v>
      </c>
      <c r="K760" s="435">
        <v>18000</v>
      </c>
      <c r="L760" s="517"/>
    </row>
    <row r="761" spans="1:12" ht="12.75">
      <c r="A761" s="86"/>
      <c r="B761" s="86"/>
      <c r="C761" s="214"/>
      <c r="D761" s="270"/>
      <c r="E761" s="87"/>
      <c r="F761" s="200"/>
      <c r="G761" s="524" t="s">
        <v>612</v>
      </c>
      <c r="H761" s="4" t="s">
        <v>934</v>
      </c>
      <c r="I761" s="435">
        <v>50000</v>
      </c>
      <c r="J761" s="435">
        <v>50000</v>
      </c>
      <c r="K761" s="435">
        <v>0</v>
      </c>
      <c r="L761" s="517"/>
    </row>
    <row r="762" spans="1:12" s="22" customFormat="1" ht="13.5">
      <c r="A762" s="88"/>
      <c r="B762" s="88"/>
      <c r="C762" s="214"/>
      <c r="D762" s="270"/>
      <c r="E762" s="89"/>
      <c r="F762" s="200" t="s">
        <v>1351</v>
      </c>
      <c r="G762" s="528">
        <v>425000</v>
      </c>
      <c r="H762" s="20" t="s">
        <v>797</v>
      </c>
      <c r="I762" s="434">
        <f>I763</f>
        <v>97500</v>
      </c>
      <c r="J762" s="434">
        <f>J763</f>
        <v>97500</v>
      </c>
      <c r="K762" s="434">
        <f>K763</f>
        <v>35010.85</v>
      </c>
      <c r="L762" s="517"/>
    </row>
    <row r="763" spans="1:12" ht="12.75">
      <c r="A763" s="86"/>
      <c r="B763" s="86"/>
      <c r="C763" s="214"/>
      <c r="D763" s="270"/>
      <c r="E763" s="87"/>
      <c r="F763" s="200" t="s">
        <v>1352</v>
      </c>
      <c r="G763" s="524">
        <v>425100</v>
      </c>
      <c r="H763" s="4" t="s">
        <v>909</v>
      </c>
      <c r="I763" s="435">
        <v>97500</v>
      </c>
      <c r="J763" s="435">
        <v>97500</v>
      </c>
      <c r="K763" s="435">
        <v>35010.85</v>
      </c>
      <c r="L763" s="517"/>
    </row>
    <row r="764" spans="1:12" s="22" customFormat="1" ht="13.5">
      <c r="A764" s="88"/>
      <c r="B764" s="88"/>
      <c r="C764" s="214"/>
      <c r="D764" s="270"/>
      <c r="E764" s="89"/>
      <c r="F764" s="200" t="s">
        <v>1354</v>
      </c>
      <c r="G764" s="528">
        <v>426000</v>
      </c>
      <c r="H764" s="20" t="s">
        <v>795</v>
      </c>
      <c r="I764" s="434">
        <f>I765+I766+I767+I768</f>
        <v>185000</v>
      </c>
      <c r="J764" s="434">
        <f>J765+J766+J767+J768</f>
        <v>185000</v>
      </c>
      <c r="K764" s="434">
        <f>K765+K766+K767+K768</f>
        <v>85017</v>
      </c>
      <c r="L764" s="517"/>
    </row>
    <row r="765" spans="1:12" ht="12.75">
      <c r="A765" s="86"/>
      <c r="B765" s="86"/>
      <c r="C765" s="214"/>
      <c r="D765" s="270"/>
      <c r="E765" s="87"/>
      <c r="F765" s="200" t="s">
        <v>1355</v>
      </c>
      <c r="G765" s="524">
        <v>426100</v>
      </c>
      <c r="H765" s="4" t="s">
        <v>911</v>
      </c>
      <c r="I765" s="435">
        <v>50000</v>
      </c>
      <c r="J765" s="435">
        <v>50000</v>
      </c>
      <c r="K765" s="435">
        <v>15150</v>
      </c>
      <c r="L765" s="517"/>
    </row>
    <row r="766" spans="1:12" ht="12.75">
      <c r="A766" s="82"/>
      <c r="B766" s="82"/>
      <c r="C766" s="214"/>
      <c r="D766" s="270"/>
      <c r="E766" s="83"/>
      <c r="F766" s="200" t="s">
        <v>1356</v>
      </c>
      <c r="G766" s="524">
        <v>426400</v>
      </c>
      <c r="H766" s="4" t="s">
        <v>215</v>
      </c>
      <c r="I766" s="435">
        <v>10000</v>
      </c>
      <c r="J766" s="435">
        <v>10000</v>
      </c>
      <c r="K766" s="435">
        <v>0</v>
      </c>
      <c r="L766" s="517"/>
    </row>
    <row r="767" spans="1:12" ht="12.75">
      <c r="A767" s="82"/>
      <c r="B767" s="82"/>
      <c r="C767" s="214"/>
      <c r="D767" s="270"/>
      <c r="E767" s="83"/>
      <c r="F767" s="200" t="s">
        <v>1357</v>
      </c>
      <c r="G767" s="524">
        <v>426600</v>
      </c>
      <c r="H767" s="4" t="s">
        <v>923</v>
      </c>
      <c r="I767" s="435">
        <v>65000</v>
      </c>
      <c r="J767" s="435">
        <v>65000</v>
      </c>
      <c r="K767" s="435">
        <v>60000</v>
      </c>
      <c r="L767" s="517"/>
    </row>
    <row r="768" spans="1:14" ht="12.75">
      <c r="A768" s="82"/>
      <c r="B768" s="82"/>
      <c r="C768" s="214"/>
      <c r="D768" s="270"/>
      <c r="E768" s="83"/>
      <c r="F768" s="200" t="s">
        <v>1358</v>
      </c>
      <c r="G768" s="524">
        <v>426800</v>
      </c>
      <c r="H768" s="5" t="s">
        <v>913</v>
      </c>
      <c r="I768" s="435">
        <v>60000</v>
      </c>
      <c r="J768" s="435">
        <v>60000</v>
      </c>
      <c r="K768" s="435">
        <v>9867</v>
      </c>
      <c r="L768" s="517"/>
      <c r="N768" s="666"/>
    </row>
    <row r="769" spans="1:12" s="24" customFormat="1" ht="13.5">
      <c r="A769" s="84"/>
      <c r="B769" s="84"/>
      <c r="C769" s="215"/>
      <c r="D769" s="208"/>
      <c r="E769" s="85"/>
      <c r="F769" s="200" t="s">
        <v>1359</v>
      </c>
      <c r="G769" s="528" t="s">
        <v>381</v>
      </c>
      <c r="H769" s="23" t="s">
        <v>384</v>
      </c>
      <c r="I769" s="434">
        <f>I770</f>
        <v>1300000</v>
      </c>
      <c r="J769" s="434">
        <f>J770</f>
        <v>1300000</v>
      </c>
      <c r="K769" s="434">
        <f>K770</f>
        <v>557362.82</v>
      </c>
      <c r="L769" s="517"/>
    </row>
    <row r="770" spans="1:12" ht="12.75">
      <c r="A770" s="82"/>
      <c r="B770" s="82"/>
      <c r="C770" s="214"/>
      <c r="D770" s="270"/>
      <c r="E770" s="83"/>
      <c r="F770" s="200" t="s">
        <v>1360</v>
      </c>
      <c r="G770" s="524" t="s">
        <v>382</v>
      </c>
      <c r="H770" s="5" t="s">
        <v>383</v>
      </c>
      <c r="I770" s="435">
        <v>1300000</v>
      </c>
      <c r="J770" s="435">
        <v>1300000</v>
      </c>
      <c r="K770" s="435">
        <v>557362.82</v>
      </c>
      <c r="L770" s="517"/>
    </row>
    <row r="771" spans="1:12" s="22" customFormat="1" ht="13.5">
      <c r="A771" s="88"/>
      <c r="B771" s="88"/>
      <c r="C771" s="214"/>
      <c r="D771" s="270"/>
      <c r="E771" s="89"/>
      <c r="F771" s="200" t="s">
        <v>1361</v>
      </c>
      <c r="G771" s="54">
        <v>483000</v>
      </c>
      <c r="H771" s="23" t="s">
        <v>860</v>
      </c>
      <c r="I771" s="434">
        <f>I772</f>
        <v>20000</v>
      </c>
      <c r="J771" s="434">
        <f>J772</f>
        <v>20000</v>
      </c>
      <c r="K771" s="434">
        <f>K772</f>
        <v>0</v>
      </c>
      <c r="L771" s="517"/>
    </row>
    <row r="772" spans="1:12" ht="12.75">
      <c r="A772" s="86"/>
      <c r="B772" s="86"/>
      <c r="C772" s="214"/>
      <c r="D772" s="270"/>
      <c r="E772" s="87"/>
      <c r="F772" s="200" t="s">
        <v>1362</v>
      </c>
      <c r="G772" s="35">
        <v>483100</v>
      </c>
      <c r="H772" s="52" t="s">
        <v>860</v>
      </c>
      <c r="I772" s="435">
        <v>20000</v>
      </c>
      <c r="J772" s="435">
        <v>20000</v>
      </c>
      <c r="K772" s="435">
        <v>0</v>
      </c>
      <c r="L772" s="517"/>
    </row>
    <row r="773" spans="1:12" s="22" customFormat="1" ht="13.5">
      <c r="A773" s="88"/>
      <c r="B773" s="88"/>
      <c r="C773" s="214"/>
      <c r="D773" s="270"/>
      <c r="E773" s="89"/>
      <c r="F773" s="200" t="s">
        <v>1363</v>
      </c>
      <c r="G773" s="528">
        <v>511000</v>
      </c>
      <c r="H773" s="25" t="s">
        <v>802</v>
      </c>
      <c r="I773" s="434">
        <f>I774</f>
        <v>550000</v>
      </c>
      <c r="J773" s="434">
        <f>J774</f>
        <v>550000</v>
      </c>
      <c r="K773" s="434">
        <f>K774</f>
        <v>300000</v>
      </c>
      <c r="L773" s="517"/>
    </row>
    <row r="774" spans="1:12" ht="12.75">
      <c r="A774" s="86"/>
      <c r="B774" s="86"/>
      <c r="C774" s="214"/>
      <c r="D774" s="270"/>
      <c r="E774" s="87"/>
      <c r="F774" s="200" t="s">
        <v>1364</v>
      </c>
      <c r="G774" s="524">
        <v>511200</v>
      </c>
      <c r="H774" s="6" t="s">
        <v>887</v>
      </c>
      <c r="I774" s="435">
        <v>550000</v>
      </c>
      <c r="J774" s="435">
        <v>550000</v>
      </c>
      <c r="K774" s="435">
        <v>300000</v>
      </c>
      <c r="L774" s="517"/>
    </row>
    <row r="775" spans="1:12" s="22" customFormat="1" ht="13.5">
      <c r="A775" s="88"/>
      <c r="B775" s="88"/>
      <c r="C775" s="214"/>
      <c r="D775" s="270"/>
      <c r="E775" s="89"/>
      <c r="F775" s="200" t="s">
        <v>1365</v>
      </c>
      <c r="G775" s="528">
        <v>515000</v>
      </c>
      <c r="H775" s="25" t="s">
        <v>858</v>
      </c>
      <c r="I775" s="434">
        <f>I776</f>
        <v>30000</v>
      </c>
      <c r="J775" s="434">
        <f>J776</f>
        <v>30000</v>
      </c>
      <c r="K775" s="434">
        <f>K776</f>
        <v>23100</v>
      </c>
      <c r="L775" s="517"/>
    </row>
    <row r="776" spans="1:12" ht="12.75">
      <c r="A776" s="86"/>
      <c r="B776" s="86"/>
      <c r="C776" s="214"/>
      <c r="D776" s="270"/>
      <c r="E776" s="87"/>
      <c r="F776" s="200" t="s">
        <v>1366</v>
      </c>
      <c r="G776" s="524">
        <v>515100</v>
      </c>
      <c r="H776" s="6" t="s">
        <v>858</v>
      </c>
      <c r="I776" s="435">
        <v>30000</v>
      </c>
      <c r="J776" s="435">
        <v>30000</v>
      </c>
      <c r="K776" s="435">
        <v>23100</v>
      </c>
      <c r="L776" s="517"/>
    </row>
    <row r="777" spans="1:12" ht="12.75">
      <c r="A777" s="86"/>
      <c r="B777" s="86"/>
      <c r="C777" s="214"/>
      <c r="D777" s="270"/>
      <c r="E777" s="87"/>
      <c r="F777" s="200"/>
      <c r="G777" s="524"/>
      <c r="H777" s="6"/>
      <c r="I777" s="435"/>
      <c r="J777" s="435"/>
      <c r="K777" s="435"/>
      <c r="L777" s="517"/>
    </row>
    <row r="778" spans="1:12" s="36" customFormat="1" ht="12.75">
      <c r="A778" s="474"/>
      <c r="B778" s="474"/>
      <c r="C778" s="475"/>
      <c r="D778" s="476"/>
      <c r="E778" s="477"/>
      <c r="F778" s="478"/>
      <c r="G778" s="483"/>
      <c r="H778" s="484" t="s">
        <v>14</v>
      </c>
      <c r="I778" s="481">
        <f>I736+I738+I742+I744+I746+I748+I754+I756+I759+I762+I764+I769+I771+I773+I775</f>
        <v>17764000</v>
      </c>
      <c r="J778" s="481">
        <f>J736+J738+J742+J744+J746+J748+J754+J756+J759+J762+J764+J769+J771+J773+J775</f>
        <v>17764000</v>
      </c>
      <c r="K778" s="603">
        <f>K736+K738+K742+K744+K746+K748+K754+K756+K759+K762+K764+K769+K771+K773+K775</f>
        <v>7271809.290000001</v>
      </c>
      <c r="L778" s="517"/>
    </row>
    <row r="779" spans="1:12" s="36" customFormat="1" ht="13.5" thickBot="1">
      <c r="A779" s="294"/>
      <c r="B779" s="294"/>
      <c r="C779" s="295"/>
      <c r="D779" s="296"/>
      <c r="E779" s="297"/>
      <c r="F779" s="298"/>
      <c r="G779" s="299"/>
      <c r="H779" s="304"/>
      <c r="I779" s="440"/>
      <c r="J779" s="440"/>
      <c r="K779" s="440"/>
      <c r="L779" s="517"/>
    </row>
    <row r="780" spans="1:12" s="22" customFormat="1" ht="32.25" customHeight="1" thickBot="1" thickTop="1">
      <c r="A780" s="104"/>
      <c r="B780" s="104">
        <v>19</v>
      </c>
      <c r="C780" s="213" t="s">
        <v>186</v>
      </c>
      <c r="D780" s="267"/>
      <c r="E780" s="105"/>
      <c r="F780" s="198"/>
      <c r="G780" s="525"/>
      <c r="H780" s="126" t="s">
        <v>216</v>
      </c>
      <c r="I780" s="457"/>
      <c r="J780" s="457"/>
      <c r="K780" s="457"/>
      <c r="L780" s="517"/>
    </row>
    <row r="781" spans="1:12" s="55" customFormat="1" ht="12.75" customHeight="1" thickTop="1">
      <c r="A781" s="283"/>
      <c r="B781" s="283"/>
      <c r="C781" s="284"/>
      <c r="D781" s="285" t="s">
        <v>704</v>
      </c>
      <c r="E781" s="286"/>
      <c r="F781" s="301"/>
      <c r="G781" s="526"/>
      <c r="H781" s="288" t="s">
        <v>575</v>
      </c>
      <c r="I781" s="431"/>
      <c r="J781" s="431"/>
      <c r="K781" s="431"/>
      <c r="L781" s="517"/>
    </row>
    <row r="782" spans="1:12" s="55" customFormat="1" ht="18" customHeight="1">
      <c r="A782" s="88"/>
      <c r="B782" s="88"/>
      <c r="C782" s="214"/>
      <c r="D782" s="274" t="s">
        <v>705</v>
      </c>
      <c r="E782" s="89"/>
      <c r="F782" s="200"/>
      <c r="G782" s="527"/>
      <c r="H782" s="125" t="s">
        <v>706</v>
      </c>
      <c r="I782" s="432"/>
      <c r="J782" s="432"/>
      <c r="K782" s="432"/>
      <c r="L782" s="517"/>
    </row>
    <row r="783" spans="1:12" s="22" customFormat="1" ht="15" customHeight="1">
      <c r="A783" s="88"/>
      <c r="B783" s="88"/>
      <c r="C783" s="214"/>
      <c r="D783" s="270"/>
      <c r="E783" s="89">
        <v>620</v>
      </c>
      <c r="F783" s="200"/>
      <c r="G783" s="527"/>
      <c r="H783" s="91" t="s">
        <v>827</v>
      </c>
      <c r="I783" s="461"/>
      <c r="J783" s="461"/>
      <c r="K783" s="461"/>
      <c r="L783" s="517"/>
    </row>
    <row r="784" spans="1:12" s="22" customFormat="1" ht="13.5">
      <c r="A784" s="88"/>
      <c r="B784" s="88"/>
      <c r="C784" s="214"/>
      <c r="D784" s="270"/>
      <c r="E784" s="89"/>
      <c r="F784" s="200" t="s">
        <v>1367</v>
      </c>
      <c r="G784" s="54">
        <v>411000</v>
      </c>
      <c r="H784" s="20" t="s">
        <v>866</v>
      </c>
      <c r="I784" s="434">
        <f>I785</f>
        <v>2635500</v>
      </c>
      <c r="J784" s="434">
        <f>J785</f>
        <v>2635500</v>
      </c>
      <c r="K784" s="434">
        <f>K785</f>
        <v>1490855.42</v>
      </c>
      <c r="L784" s="517"/>
    </row>
    <row r="785" spans="1:12" ht="12.75">
      <c r="A785" s="86"/>
      <c r="B785" s="86"/>
      <c r="C785" s="214"/>
      <c r="D785" s="270"/>
      <c r="E785" s="87"/>
      <c r="F785" s="200" t="s">
        <v>1368</v>
      </c>
      <c r="G785" s="35">
        <v>411100</v>
      </c>
      <c r="H785" s="4" t="s">
        <v>878</v>
      </c>
      <c r="I785" s="435">
        <v>2635500</v>
      </c>
      <c r="J785" s="435">
        <v>2635500</v>
      </c>
      <c r="K785" s="435">
        <v>1490855.42</v>
      </c>
      <c r="L785" s="517"/>
    </row>
    <row r="786" spans="1:12" s="22" customFormat="1" ht="13.5">
      <c r="A786" s="88"/>
      <c r="B786" s="88"/>
      <c r="C786" s="214"/>
      <c r="D786" s="270"/>
      <c r="E786" s="89"/>
      <c r="F786" s="200" t="s">
        <v>1369</v>
      </c>
      <c r="G786" s="54">
        <v>412000</v>
      </c>
      <c r="H786" s="20" t="s">
        <v>801</v>
      </c>
      <c r="I786" s="434">
        <f>I787+I788+I789</f>
        <v>472000</v>
      </c>
      <c r="J786" s="434">
        <f>J787+J788+J789</f>
        <v>472000</v>
      </c>
      <c r="K786" s="434">
        <f>K787+K788+K789</f>
        <v>266863.14</v>
      </c>
      <c r="L786" s="517"/>
    </row>
    <row r="787" spans="1:12" ht="12.75">
      <c r="A787" s="86"/>
      <c r="B787" s="86"/>
      <c r="C787" s="214"/>
      <c r="D787" s="270"/>
      <c r="E787" s="87"/>
      <c r="F787" s="200" t="s">
        <v>1370</v>
      </c>
      <c r="G787" s="35">
        <v>412100</v>
      </c>
      <c r="H787" s="4" t="s">
        <v>879</v>
      </c>
      <c r="I787" s="435">
        <v>316400</v>
      </c>
      <c r="J787" s="435">
        <v>316400</v>
      </c>
      <c r="K787" s="435">
        <v>178902.66</v>
      </c>
      <c r="L787" s="517"/>
    </row>
    <row r="788" spans="1:12" ht="12.75">
      <c r="A788" s="82"/>
      <c r="B788" s="82"/>
      <c r="C788" s="214"/>
      <c r="D788" s="270"/>
      <c r="E788" s="83"/>
      <c r="F788" s="200" t="s">
        <v>1371</v>
      </c>
      <c r="G788" s="35">
        <v>412200</v>
      </c>
      <c r="H788" s="4" t="s">
        <v>880</v>
      </c>
      <c r="I788" s="435">
        <v>135800</v>
      </c>
      <c r="J788" s="435">
        <v>135800</v>
      </c>
      <c r="K788" s="435">
        <v>76779.05</v>
      </c>
      <c r="L788" s="517"/>
    </row>
    <row r="789" spans="1:12" ht="12.75">
      <c r="A789" s="82"/>
      <c r="B789" s="82"/>
      <c r="C789" s="214"/>
      <c r="D789" s="270"/>
      <c r="E789" s="83"/>
      <c r="F789" s="200" t="s">
        <v>1372</v>
      </c>
      <c r="G789" s="35">
        <v>412300</v>
      </c>
      <c r="H789" s="4" t="s">
        <v>881</v>
      </c>
      <c r="I789" s="435">
        <v>19800</v>
      </c>
      <c r="J789" s="435">
        <v>19800</v>
      </c>
      <c r="K789" s="435">
        <v>11181.43</v>
      </c>
      <c r="L789" s="517"/>
    </row>
    <row r="790" spans="1:12" s="22" customFormat="1" ht="13.5">
      <c r="A790" s="88"/>
      <c r="B790" s="88"/>
      <c r="C790" s="214"/>
      <c r="D790" s="270"/>
      <c r="E790" s="89"/>
      <c r="F790" s="200" t="s">
        <v>1373</v>
      </c>
      <c r="G790" s="54">
        <v>414000</v>
      </c>
      <c r="H790" s="20" t="s">
        <v>792</v>
      </c>
      <c r="I790" s="434">
        <f>I791</f>
        <v>50000</v>
      </c>
      <c r="J790" s="434">
        <f>J791</f>
        <v>50000</v>
      </c>
      <c r="K790" s="434">
        <f>K791</f>
        <v>0</v>
      </c>
      <c r="L790" s="517"/>
    </row>
    <row r="791" spans="1:12" ht="12.75">
      <c r="A791" s="82"/>
      <c r="B791" s="82"/>
      <c r="C791" s="214"/>
      <c r="D791" s="270"/>
      <c r="E791" s="83"/>
      <c r="F791" s="200" t="s">
        <v>1374</v>
      </c>
      <c r="G791" s="35">
        <v>414300</v>
      </c>
      <c r="H791" s="4" t="s">
        <v>893</v>
      </c>
      <c r="I791" s="435">
        <v>50000</v>
      </c>
      <c r="J791" s="435">
        <v>50000</v>
      </c>
      <c r="K791" s="435">
        <v>0</v>
      </c>
      <c r="L791" s="517"/>
    </row>
    <row r="792" spans="1:12" s="24" customFormat="1" ht="13.5">
      <c r="A792" s="84"/>
      <c r="B792" s="84"/>
      <c r="C792" s="215"/>
      <c r="D792" s="208"/>
      <c r="E792" s="85"/>
      <c r="F792" s="200" t="s">
        <v>1375</v>
      </c>
      <c r="G792" s="54">
        <v>415000</v>
      </c>
      <c r="H792" s="20" t="s">
        <v>852</v>
      </c>
      <c r="I792" s="434">
        <f>I793</f>
        <v>60000</v>
      </c>
      <c r="J792" s="434">
        <f>J793</f>
        <v>60000</v>
      </c>
      <c r="K792" s="434">
        <f>K793</f>
        <v>28800</v>
      </c>
      <c r="L792" s="517"/>
    </row>
    <row r="793" spans="1:12" ht="12.75">
      <c r="A793" s="86"/>
      <c r="B793" s="86"/>
      <c r="C793" s="214"/>
      <c r="D793" s="270"/>
      <c r="E793" s="87"/>
      <c r="F793" s="200" t="s">
        <v>1376</v>
      </c>
      <c r="G793" s="35">
        <v>415100</v>
      </c>
      <c r="H793" s="4" t="s">
        <v>852</v>
      </c>
      <c r="I793" s="435">
        <v>60000</v>
      </c>
      <c r="J793" s="435">
        <v>60000</v>
      </c>
      <c r="K793" s="435">
        <v>28800</v>
      </c>
      <c r="L793" s="517"/>
    </row>
    <row r="794" spans="1:12" s="22" customFormat="1" ht="12.75">
      <c r="A794" s="88"/>
      <c r="B794" s="88"/>
      <c r="C794" s="214"/>
      <c r="D794" s="270"/>
      <c r="E794" s="89"/>
      <c r="F794" s="200" t="s">
        <v>1377</v>
      </c>
      <c r="G794" s="74" t="s">
        <v>381</v>
      </c>
      <c r="H794" s="41" t="s">
        <v>384</v>
      </c>
      <c r="I794" s="436">
        <f>I795</f>
        <v>353500</v>
      </c>
      <c r="J794" s="436">
        <f>J795</f>
        <v>353500</v>
      </c>
      <c r="K794" s="436">
        <f>K795</f>
        <v>197546.7</v>
      </c>
      <c r="L794" s="517"/>
    </row>
    <row r="795" spans="1:12" ht="12.75">
      <c r="A795" s="82"/>
      <c r="B795" s="82"/>
      <c r="C795" s="214"/>
      <c r="D795" s="270"/>
      <c r="E795" s="83"/>
      <c r="F795" s="200" t="s">
        <v>1378</v>
      </c>
      <c r="G795" s="35" t="s">
        <v>382</v>
      </c>
      <c r="H795" s="5" t="s">
        <v>383</v>
      </c>
      <c r="I795" s="435">
        <v>353500</v>
      </c>
      <c r="J795" s="435">
        <v>353500</v>
      </c>
      <c r="K795" s="435">
        <v>197546.7</v>
      </c>
      <c r="L795" s="517"/>
    </row>
    <row r="796" spans="1:12" ht="12.75">
      <c r="A796" s="82"/>
      <c r="B796" s="82"/>
      <c r="C796" s="214"/>
      <c r="D796" s="270"/>
      <c r="E796" s="83"/>
      <c r="F796" s="200"/>
      <c r="G796" s="35"/>
      <c r="H796" s="5"/>
      <c r="I796" s="435"/>
      <c r="J796" s="435"/>
      <c r="K796" s="435"/>
      <c r="L796" s="517"/>
    </row>
    <row r="797" spans="1:12" s="36" customFormat="1" ht="12.75">
      <c r="A797" s="82"/>
      <c r="B797" s="82"/>
      <c r="C797" s="214"/>
      <c r="D797" s="270"/>
      <c r="E797" s="83"/>
      <c r="F797" s="200"/>
      <c r="G797" s="35"/>
      <c r="H797" s="292" t="s">
        <v>624</v>
      </c>
      <c r="I797" s="436">
        <f>I784+I786+I790+I792+I794</f>
        <v>3571000</v>
      </c>
      <c r="J797" s="436">
        <f>J784+J786+J790+J792+J794</f>
        <v>3571000</v>
      </c>
      <c r="K797" s="436">
        <f>K784+K786+K790+K792+K794</f>
        <v>1984065.26</v>
      </c>
      <c r="L797" s="517"/>
    </row>
    <row r="798" spans="1:12" s="36" customFormat="1" ht="12.75">
      <c r="A798" s="82"/>
      <c r="B798" s="82"/>
      <c r="C798" s="214"/>
      <c r="D798" s="270"/>
      <c r="E798" s="83"/>
      <c r="F798" s="200"/>
      <c r="G798" s="48"/>
      <c r="H798" s="33"/>
      <c r="I798" s="435"/>
      <c r="J798" s="435"/>
      <c r="K798" s="435"/>
      <c r="L798" s="517"/>
    </row>
    <row r="799" spans="1:12" s="36" customFormat="1" ht="25.5">
      <c r="A799" s="474"/>
      <c r="B799" s="474"/>
      <c r="C799" s="475"/>
      <c r="D799" s="476"/>
      <c r="E799" s="477"/>
      <c r="F799" s="478"/>
      <c r="G799" s="483"/>
      <c r="H799" s="484" t="s">
        <v>15</v>
      </c>
      <c r="I799" s="481">
        <f>I797</f>
        <v>3571000</v>
      </c>
      <c r="J799" s="481">
        <f>J797</f>
        <v>3571000</v>
      </c>
      <c r="K799" s="603">
        <f>K797</f>
        <v>1984065.26</v>
      </c>
      <c r="L799" s="517"/>
    </row>
    <row r="800" spans="1:12" s="36" customFormat="1" ht="13.5" thickBot="1">
      <c r="A800" s="294"/>
      <c r="B800" s="294"/>
      <c r="C800" s="295"/>
      <c r="D800" s="296"/>
      <c r="E800" s="297"/>
      <c r="F800" s="298"/>
      <c r="G800" s="299"/>
      <c r="H800" s="304"/>
      <c r="I800" s="440"/>
      <c r="J800" s="440"/>
      <c r="K800" s="440"/>
      <c r="L800" s="517"/>
    </row>
    <row r="801" spans="1:12" s="22" customFormat="1" ht="15" customHeight="1" thickBot="1" thickTop="1">
      <c r="A801" s="104"/>
      <c r="B801" s="104">
        <v>20</v>
      </c>
      <c r="C801" s="213" t="s">
        <v>186</v>
      </c>
      <c r="D801" s="267"/>
      <c r="E801" s="105"/>
      <c r="F801" s="198"/>
      <c r="G801" s="525"/>
      <c r="H801" s="106" t="s">
        <v>234</v>
      </c>
      <c r="I801" s="457"/>
      <c r="J801" s="457"/>
      <c r="K801" s="457"/>
      <c r="L801" s="517"/>
    </row>
    <row r="802" spans="1:12" s="55" customFormat="1" ht="12.75" customHeight="1" thickTop="1">
      <c r="A802" s="283"/>
      <c r="B802" s="283"/>
      <c r="C802" s="284"/>
      <c r="D802" s="285" t="s">
        <v>704</v>
      </c>
      <c r="E802" s="286"/>
      <c r="F802" s="301"/>
      <c r="G802" s="526"/>
      <c r="H802" s="288" t="s">
        <v>575</v>
      </c>
      <c r="I802" s="431"/>
      <c r="J802" s="431"/>
      <c r="K802" s="431"/>
      <c r="L802" s="517"/>
    </row>
    <row r="803" spans="1:12" s="55" customFormat="1" ht="18" customHeight="1">
      <c r="A803" s="88"/>
      <c r="B803" s="88"/>
      <c r="C803" s="214"/>
      <c r="D803" s="274" t="s">
        <v>705</v>
      </c>
      <c r="E803" s="89"/>
      <c r="F803" s="200"/>
      <c r="G803" s="527"/>
      <c r="H803" s="125" t="s">
        <v>706</v>
      </c>
      <c r="I803" s="432"/>
      <c r="J803" s="432"/>
      <c r="K803" s="432"/>
      <c r="L803" s="517"/>
    </row>
    <row r="804" spans="1:12" s="22" customFormat="1" ht="15.75" customHeight="1">
      <c r="A804" s="88"/>
      <c r="B804" s="88"/>
      <c r="C804" s="214"/>
      <c r="D804" s="270"/>
      <c r="E804" s="89">
        <v>620</v>
      </c>
      <c r="F804" s="200"/>
      <c r="G804" s="527"/>
      <c r="H804" s="91" t="s">
        <v>827</v>
      </c>
      <c r="I804" s="461"/>
      <c r="J804" s="461"/>
      <c r="K804" s="461"/>
      <c r="L804" s="517"/>
    </row>
    <row r="805" spans="1:12" s="22" customFormat="1" ht="13.5">
      <c r="A805" s="88"/>
      <c r="B805" s="88"/>
      <c r="C805" s="214"/>
      <c r="D805" s="270"/>
      <c r="E805" s="89"/>
      <c r="F805" s="200" t="s">
        <v>1379</v>
      </c>
      <c r="G805" s="54">
        <v>411000</v>
      </c>
      <c r="H805" s="20" t="s">
        <v>866</v>
      </c>
      <c r="I805" s="434">
        <f>I806</f>
        <v>17892000</v>
      </c>
      <c r="J805" s="434">
        <f>J806</f>
        <v>17892000</v>
      </c>
      <c r="K805" s="434">
        <f>K806</f>
        <v>8935030.76</v>
      </c>
      <c r="L805" s="517"/>
    </row>
    <row r="806" spans="1:12" ht="12.75">
      <c r="A806" s="86"/>
      <c r="B806" s="86"/>
      <c r="C806" s="214"/>
      <c r="D806" s="270"/>
      <c r="E806" s="87"/>
      <c r="F806" s="200" t="s">
        <v>1380</v>
      </c>
      <c r="G806" s="35">
        <v>411100</v>
      </c>
      <c r="H806" s="4" t="s">
        <v>878</v>
      </c>
      <c r="I806" s="435">
        <v>17892000</v>
      </c>
      <c r="J806" s="435">
        <v>17892000</v>
      </c>
      <c r="K806" s="435">
        <v>8935030.76</v>
      </c>
      <c r="L806" s="517"/>
    </row>
    <row r="807" spans="1:12" s="22" customFormat="1" ht="14.25" customHeight="1">
      <c r="A807" s="88"/>
      <c r="B807" s="88"/>
      <c r="C807" s="214"/>
      <c r="D807" s="270"/>
      <c r="E807" s="89"/>
      <c r="F807" s="200" t="s">
        <v>1381</v>
      </c>
      <c r="G807" s="54">
        <v>412000</v>
      </c>
      <c r="H807" s="20" t="s">
        <v>801</v>
      </c>
      <c r="I807" s="434">
        <f>I808+I809+I810</f>
        <v>3246000</v>
      </c>
      <c r="J807" s="434">
        <f>J808+J809+J810</f>
        <v>3246000</v>
      </c>
      <c r="K807" s="434">
        <f>K808+K809+K810</f>
        <v>1599370.5</v>
      </c>
      <c r="L807" s="517"/>
    </row>
    <row r="808" spans="1:12" ht="12.75">
      <c r="A808" s="86"/>
      <c r="B808" s="86"/>
      <c r="C808" s="214"/>
      <c r="D808" s="270"/>
      <c r="E808" s="87"/>
      <c r="F808" s="200" t="s">
        <v>1382</v>
      </c>
      <c r="G808" s="35">
        <v>412100</v>
      </c>
      <c r="H808" s="4" t="s">
        <v>879</v>
      </c>
      <c r="I808" s="435">
        <v>2160000</v>
      </c>
      <c r="J808" s="435">
        <v>2160000</v>
      </c>
      <c r="K808" s="435">
        <v>1072203.69</v>
      </c>
      <c r="L808" s="517"/>
    </row>
    <row r="809" spans="1:12" ht="12.75">
      <c r="A809" s="82"/>
      <c r="B809" s="82"/>
      <c r="C809" s="214"/>
      <c r="D809" s="270"/>
      <c r="E809" s="83"/>
      <c r="F809" s="200" t="s">
        <v>1383</v>
      </c>
      <c r="G809" s="35">
        <v>412200</v>
      </c>
      <c r="H809" s="4" t="s">
        <v>880</v>
      </c>
      <c r="I809" s="435">
        <v>948000</v>
      </c>
      <c r="J809" s="435">
        <v>948000</v>
      </c>
      <c r="K809" s="435">
        <v>460154.08</v>
      </c>
      <c r="L809" s="517"/>
    </row>
    <row r="810" spans="1:12" ht="12.75">
      <c r="A810" s="82"/>
      <c r="B810" s="82"/>
      <c r="C810" s="214"/>
      <c r="D810" s="270"/>
      <c r="E810" s="83"/>
      <c r="F810" s="200" t="s">
        <v>1384</v>
      </c>
      <c r="G810" s="35">
        <v>412300</v>
      </c>
      <c r="H810" s="4" t="s">
        <v>881</v>
      </c>
      <c r="I810" s="435">
        <v>138000</v>
      </c>
      <c r="J810" s="435">
        <v>138000</v>
      </c>
      <c r="K810" s="435">
        <v>67012.73</v>
      </c>
      <c r="L810" s="517"/>
    </row>
    <row r="811" spans="1:12" s="22" customFormat="1" ht="13.5">
      <c r="A811" s="88"/>
      <c r="B811" s="88"/>
      <c r="C811" s="214"/>
      <c r="D811" s="270"/>
      <c r="E811" s="89"/>
      <c r="F811" s="200" t="s">
        <v>1385</v>
      </c>
      <c r="G811" s="54">
        <v>414000</v>
      </c>
      <c r="H811" s="20" t="s">
        <v>792</v>
      </c>
      <c r="I811" s="434">
        <f>I812+I813</f>
        <v>800000</v>
      </c>
      <c r="J811" s="434">
        <f>J812+J813</f>
        <v>800000</v>
      </c>
      <c r="K811" s="434">
        <f>K812+K813</f>
        <v>367967.65</v>
      </c>
      <c r="L811" s="517"/>
    </row>
    <row r="812" spans="1:12" ht="12.75">
      <c r="A812" s="82"/>
      <c r="B812" s="82"/>
      <c r="C812" s="214"/>
      <c r="D812" s="270"/>
      <c r="E812" s="83"/>
      <c r="F812" s="200" t="s">
        <v>1386</v>
      </c>
      <c r="G812" s="35">
        <v>414300</v>
      </c>
      <c r="H812" s="4" t="s">
        <v>893</v>
      </c>
      <c r="I812" s="435">
        <v>750000</v>
      </c>
      <c r="J812" s="435">
        <v>750000</v>
      </c>
      <c r="K812" s="435">
        <v>367967.65</v>
      </c>
      <c r="L812" s="517"/>
    </row>
    <row r="813" spans="1:12" ht="12.75">
      <c r="A813" s="82"/>
      <c r="B813" s="82"/>
      <c r="C813" s="214"/>
      <c r="D813" s="270"/>
      <c r="E813" s="83"/>
      <c r="F813" s="200" t="s">
        <v>1387</v>
      </c>
      <c r="G813" s="35">
        <v>414400</v>
      </c>
      <c r="H813" s="4" t="s">
        <v>938</v>
      </c>
      <c r="I813" s="435">
        <v>50000</v>
      </c>
      <c r="J813" s="435">
        <v>50000</v>
      </c>
      <c r="K813" s="435">
        <v>0</v>
      </c>
      <c r="L813" s="517"/>
    </row>
    <row r="814" spans="1:12" s="22" customFormat="1" ht="13.5">
      <c r="A814" s="88"/>
      <c r="B814" s="88"/>
      <c r="C814" s="214"/>
      <c r="D814" s="270"/>
      <c r="E814" s="89"/>
      <c r="F814" s="200" t="s">
        <v>1388</v>
      </c>
      <c r="G814" s="54">
        <v>415000</v>
      </c>
      <c r="H814" s="239" t="s">
        <v>852</v>
      </c>
      <c r="I814" s="434">
        <f>I815</f>
        <v>900000</v>
      </c>
      <c r="J814" s="434">
        <f>J815</f>
        <v>900000</v>
      </c>
      <c r="K814" s="434">
        <f>K815</f>
        <v>405381.28</v>
      </c>
      <c r="L814" s="517"/>
    </row>
    <row r="815" spans="1:12" ht="12.75">
      <c r="A815" s="86"/>
      <c r="B815" s="86"/>
      <c r="C815" s="214"/>
      <c r="D815" s="270"/>
      <c r="E815" s="87"/>
      <c r="F815" s="200" t="s">
        <v>1389</v>
      </c>
      <c r="G815" s="35">
        <v>415100</v>
      </c>
      <c r="H815" s="52" t="s">
        <v>852</v>
      </c>
      <c r="I815" s="435">
        <v>900000</v>
      </c>
      <c r="J815" s="435">
        <v>900000</v>
      </c>
      <c r="K815" s="435">
        <v>405381.28</v>
      </c>
      <c r="L815" s="517"/>
    </row>
    <row r="816" spans="1:12" s="22" customFormat="1" ht="13.5">
      <c r="A816" s="88"/>
      <c r="B816" s="88"/>
      <c r="C816" s="214"/>
      <c r="D816" s="270"/>
      <c r="E816" s="89"/>
      <c r="F816" s="200" t="s">
        <v>1390</v>
      </c>
      <c r="G816" s="54">
        <v>421000</v>
      </c>
      <c r="H816" s="20" t="s">
        <v>799</v>
      </c>
      <c r="I816" s="434">
        <f>I817+I818+I819+I820+I821+I822+I823</f>
        <v>1375000</v>
      </c>
      <c r="J816" s="434">
        <f>J817+J818+J819+J820+J821+J822+J823</f>
        <v>1375000</v>
      </c>
      <c r="K816" s="434">
        <f>K817+K818+K819+K820+K821+K822+K823</f>
        <v>1052359.25</v>
      </c>
      <c r="L816" s="517"/>
    </row>
    <row r="817" spans="1:12" ht="12.75">
      <c r="A817" s="86"/>
      <c r="B817" s="86"/>
      <c r="C817" s="214"/>
      <c r="D817" s="270"/>
      <c r="E817" s="87"/>
      <c r="F817" s="200" t="s">
        <v>1391</v>
      </c>
      <c r="G817" s="35">
        <v>421100</v>
      </c>
      <c r="H817" s="4" t="s">
        <v>894</v>
      </c>
      <c r="I817" s="435">
        <v>125000</v>
      </c>
      <c r="J817" s="435">
        <v>125000</v>
      </c>
      <c r="K817" s="435">
        <v>120000</v>
      </c>
      <c r="L817" s="517"/>
    </row>
    <row r="818" spans="1:12" ht="12.75">
      <c r="A818" s="82"/>
      <c r="B818" s="82"/>
      <c r="C818" s="214"/>
      <c r="D818" s="270"/>
      <c r="E818" s="83"/>
      <c r="F818" s="200" t="s">
        <v>1392</v>
      </c>
      <c r="G818" s="35">
        <v>421200</v>
      </c>
      <c r="H818" s="4" t="s">
        <v>920</v>
      </c>
      <c r="I818" s="435">
        <v>250000</v>
      </c>
      <c r="J818" s="435">
        <v>250000</v>
      </c>
      <c r="K818" s="435">
        <v>168685.02</v>
      </c>
      <c r="L818" s="517"/>
    </row>
    <row r="819" spans="1:12" ht="12.75">
      <c r="A819" s="82"/>
      <c r="B819" s="82"/>
      <c r="C819" s="214"/>
      <c r="D819" s="270"/>
      <c r="E819" s="83"/>
      <c r="F819" s="200" t="s">
        <v>1393</v>
      </c>
      <c r="G819" s="35">
        <v>421300</v>
      </c>
      <c r="H819" s="4" t="s">
        <v>896</v>
      </c>
      <c r="I819" s="435">
        <v>175000</v>
      </c>
      <c r="J819" s="435">
        <v>175000</v>
      </c>
      <c r="K819" s="435">
        <v>143307.54</v>
      </c>
      <c r="L819" s="517"/>
    </row>
    <row r="820" spans="1:12" ht="12.75">
      <c r="A820" s="82"/>
      <c r="B820" s="82"/>
      <c r="C820" s="214"/>
      <c r="D820" s="270"/>
      <c r="E820" s="83"/>
      <c r="F820" s="200" t="s">
        <v>1394</v>
      </c>
      <c r="G820" s="35">
        <v>421400</v>
      </c>
      <c r="H820" s="4" t="s">
        <v>883</v>
      </c>
      <c r="I820" s="435">
        <v>100000</v>
      </c>
      <c r="J820" s="435">
        <v>100000</v>
      </c>
      <c r="K820" s="435">
        <v>66678.72</v>
      </c>
      <c r="L820" s="517"/>
    </row>
    <row r="821" spans="1:12" ht="12.75">
      <c r="A821" s="82"/>
      <c r="B821" s="82"/>
      <c r="C821" s="214"/>
      <c r="D821" s="270"/>
      <c r="E821" s="83"/>
      <c r="F821" s="200" t="s">
        <v>1395</v>
      </c>
      <c r="G821" s="35">
        <v>421500</v>
      </c>
      <c r="H821" s="4" t="s">
        <v>897</v>
      </c>
      <c r="I821" s="435">
        <v>100000</v>
      </c>
      <c r="J821" s="435">
        <v>100000</v>
      </c>
      <c r="K821" s="435">
        <v>0</v>
      </c>
      <c r="L821" s="517"/>
    </row>
    <row r="822" spans="1:12" ht="12.75">
      <c r="A822" s="82"/>
      <c r="B822" s="82"/>
      <c r="C822" s="214"/>
      <c r="D822" s="270"/>
      <c r="E822" s="83"/>
      <c r="F822" s="200" t="s">
        <v>1396</v>
      </c>
      <c r="G822" s="35">
        <v>421600</v>
      </c>
      <c r="H822" s="4" t="s">
        <v>898</v>
      </c>
      <c r="I822" s="435">
        <v>600000</v>
      </c>
      <c r="J822" s="435">
        <v>600000</v>
      </c>
      <c r="K822" s="435">
        <v>553687.97</v>
      </c>
      <c r="L822" s="517"/>
    </row>
    <row r="823" spans="1:12" ht="12.75">
      <c r="A823" s="82"/>
      <c r="B823" s="82"/>
      <c r="C823" s="214"/>
      <c r="D823" s="270"/>
      <c r="E823" s="83"/>
      <c r="F823" s="200" t="s">
        <v>1397</v>
      </c>
      <c r="G823" s="35">
        <v>421900</v>
      </c>
      <c r="H823" s="4" t="s">
        <v>231</v>
      </c>
      <c r="I823" s="435">
        <v>25000</v>
      </c>
      <c r="J823" s="435">
        <v>25000</v>
      </c>
      <c r="K823" s="435">
        <v>0</v>
      </c>
      <c r="L823" s="517"/>
    </row>
    <row r="824" spans="1:12" s="24" customFormat="1" ht="13.5">
      <c r="A824" s="84"/>
      <c r="B824" s="84"/>
      <c r="C824" s="215"/>
      <c r="D824" s="208"/>
      <c r="E824" s="85"/>
      <c r="F824" s="200" t="s">
        <v>1398</v>
      </c>
      <c r="G824" s="54">
        <v>422000</v>
      </c>
      <c r="H824" s="20" t="s">
        <v>793</v>
      </c>
      <c r="I824" s="434">
        <f>I825</f>
        <v>35000</v>
      </c>
      <c r="J824" s="434">
        <f>J825</f>
        <v>35000</v>
      </c>
      <c r="K824" s="434">
        <f>K825</f>
        <v>0</v>
      </c>
      <c r="L824" s="517"/>
    </row>
    <row r="825" spans="1:12" ht="12.75">
      <c r="A825" s="86"/>
      <c r="B825" s="86"/>
      <c r="C825" s="214"/>
      <c r="D825" s="270"/>
      <c r="E825" s="87"/>
      <c r="F825" s="200" t="s">
        <v>1399</v>
      </c>
      <c r="G825" s="35">
        <v>422100</v>
      </c>
      <c r="H825" s="4" t="s">
        <v>899</v>
      </c>
      <c r="I825" s="435">
        <v>35000</v>
      </c>
      <c r="J825" s="435">
        <v>35000</v>
      </c>
      <c r="K825" s="435">
        <v>0</v>
      </c>
      <c r="L825" s="517"/>
    </row>
    <row r="826" spans="1:12" s="22" customFormat="1" ht="13.5">
      <c r="A826" s="88"/>
      <c r="B826" s="88"/>
      <c r="C826" s="214"/>
      <c r="D826" s="270"/>
      <c r="E826" s="89"/>
      <c r="F826" s="200" t="s">
        <v>1400</v>
      </c>
      <c r="G826" s="54">
        <v>423000</v>
      </c>
      <c r="H826" s="239" t="s">
        <v>794</v>
      </c>
      <c r="I826" s="434">
        <f>I827+I828+I829+I830+I831+I832+I833</f>
        <v>1040000</v>
      </c>
      <c r="J826" s="434">
        <f>J827+J828+J829+J830+J831+J832+J833</f>
        <v>1040000</v>
      </c>
      <c r="K826" s="434">
        <f>K827+K828+K829+K830+K831+K832+K833</f>
        <v>326271</v>
      </c>
      <c r="L826" s="517"/>
    </row>
    <row r="827" spans="1:12" ht="12.75">
      <c r="A827" s="86"/>
      <c r="B827" s="86"/>
      <c r="C827" s="214"/>
      <c r="D827" s="270"/>
      <c r="E827" s="87"/>
      <c r="F827" s="200" t="s">
        <v>1401</v>
      </c>
      <c r="G827" s="35">
        <v>423200</v>
      </c>
      <c r="H827" s="52" t="s">
        <v>901</v>
      </c>
      <c r="I827" s="435">
        <v>575000</v>
      </c>
      <c r="J827" s="435">
        <v>575000</v>
      </c>
      <c r="K827" s="435">
        <v>54010</v>
      </c>
      <c r="L827" s="517"/>
    </row>
    <row r="828" spans="1:12" ht="12.75">
      <c r="A828" s="82"/>
      <c r="B828" s="82"/>
      <c r="C828" s="214"/>
      <c r="D828" s="270"/>
      <c r="E828" s="83"/>
      <c r="F828" s="200" t="s">
        <v>1402</v>
      </c>
      <c r="G828" s="35">
        <v>423300</v>
      </c>
      <c r="H828" s="52" t="s">
        <v>902</v>
      </c>
      <c r="I828" s="435">
        <v>50000</v>
      </c>
      <c r="J828" s="435">
        <v>50000</v>
      </c>
      <c r="K828" s="435">
        <v>22500</v>
      </c>
      <c r="L828" s="517"/>
    </row>
    <row r="829" spans="1:12" ht="12.75">
      <c r="A829" s="82"/>
      <c r="B829" s="82"/>
      <c r="C829" s="214"/>
      <c r="D829" s="270"/>
      <c r="E829" s="83"/>
      <c r="F829" s="200" t="s">
        <v>1403</v>
      </c>
      <c r="G829" s="524">
        <v>423400</v>
      </c>
      <c r="H829" s="5" t="s">
        <v>884</v>
      </c>
      <c r="I829" s="435">
        <v>200000</v>
      </c>
      <c r="J829" s="435">
        <v>200000</v>
      </c>
      <c r="K829" s="435">
        <v>126826</v>
      </c>
      <c r="L829" s="517"/>
    </row>
    <row r="830" spans="1:12" ht="12.75">
      <c r="A830" s="82"/>
      <c r="B830" s="82"/>
      <c r="C830" s="214"/>
      <c r="D830" s="270"/>
      <c r="E830" s="83"/>
      <c r="F830" s="200" t="s">
        <v>1404</v>
      </c>
      <c r="G830" s="524">
        <v>423500</v>
      </c>
      <c r="H830" s="5" t="s">
        <v>903</v>
      </c>
      <c r="I830" s="435">
        <v>100000</v>
      </c>
      <c r="J830" s="435">
        <v>100000</v>
      </c>
      <c r="K830" s="435">
        <v>69000</v>
      </c>
      <c r="L830" s="517"/>
    </row>
    <row r="831" spans="1:12" ht="12.75">
      <c r="A831" s="82"/>
      <c r="B831" s="82"/>
      <c r="C831" s="214"/>
      <c r="D831" s="270"/>
      <c r="E831" s="83"/>
      <c r="F831" s="200" t="s">
        <v>1405</v>
      </c>
      <c r="G831" s="524" t="s">
        <v>622</v>
      </c>
      <c r="H831" s="4" t="s">
        <v>904</v>
      </c>
      <c r="I831" s="435">
        <v>50000</v>
      </c>
      <c r="J831" s="435">
        <v>50000</v>
      </c>
      <c r="K831" s="435">
        <v>34500</v>
      </c>
      <c r="L831" s="517"/>
    </row>
    <row r="832" spans="1:12" ht="12.75">
      <c r="A832" s="82"/>
      <c r="B832" s="82"/>
      <c r="C832" s="214"/>
      <c r="D832" s="270"/>
      <c r="E832" s="83"/>
      <c r="F832" s="200" t="s">
        <v>1406</v>
      </c>
      <c r="G832" s="35">
        <v>423700</v>
      </c>
      <c r="H832" s="52" t="s">
        <v>905</v>
      </c>
      <c r="I832" s="435">
        <v>25000</v>
      </c>
      <c r="J832" s="435">
        <v>25000</v>
      </c>
      <c r="K832" s="435">
        <v>0</v>
      </c>
      <c r="L832" s="517"/>
    </row>
    <row r="833" spans="1:12" ht="12.75">
      <c r="A833" s="82"/>
      <c r="B833" s="82"/>
      <c r="C833" s="214"/>
      <c r="D833" s="270"/>
      <c r="E833" s="83"/>
      <c r="F833" s="200" t="s">
        <v>1407</v>
      </c>
      <c r="G833" s="524">
        <v>423900</v>
      </c>
      <c r="H833" s="4" t="s">
        <v>906</v>
      </c>
      <c r="I833" s="435">
        <v>40000</v>
      </c>
      <c r="J833" s="435">
        <v>40000</v>
      </c>
      <c r="K833" s="435">
        <v>19435</v>
      </c>
      <c r="L833" s="517"/>
    </row>
    <row r="834" spans="1:12" s="22" customFormat="1" ht="13.5">
      <c r="A834" s="88"/>
      <c r="B834" s="88"/>
      <c r="C834" s="214"/>
      <c r="D834" s="270"/>
      <c r="E834" s="89"/>
      <c r="F834" s="200" t="s">
        <v>1408</v>
      </c>
      <c r="G834" s="528">
        <v>424000</v>
      </c>
      <c r="H834" s="20" t="s">
        <v>800</v>
      </c>
      <c r="I834" s="434">
        <f>I835</f>
        <v>50000</v>
      </c>
      <c r="J834" s="434">
        <f>J835</f>
        <v>50000</v>
      </c>
      <c r="K834" s="434">
        <f>K835</f>
        <v>49850</v>
      </c>
      <c r="L834" s="517"/>
    </row>
    <row r="835" spans="1:12" ht="12.75">
      <c r="A835" s="82"/>
      <c r="B835" s="82"/>
      <c r="C835" s="214"/>
      <c r="D835" s="270"/>
      <c r="E835" s="83"/>
      <c r="F835" s="200" t="s">
        <v>1409</v>
      </c>
      <c r="G835" s="524">
        <v>424900</v>
      </c>
      <c r="H835" s="4" t="s">
        <v>934</v>
      </c>
      <c r="I835" s="435">
        <v>50000</v>
      </c>
      <c r="J835" s="435">
        <v>50000</v>
      </c>
      <c r="K835" s="435">
        <v>49850</v>
      </c>
      <c r="L835" s="517"/>
    </row>
    <row r="836" spans="1:12" s="22" customFormat="1" ht="13.5">
      <c r="A836" s="88"/>
      <c r="B836" s="88"/>
      <c r="C836" s="214"/>
      <c r="D836" s="270"/>
      <c r="E836" s="89"/>
      <c r="F836" s="200" t="s">
        <v>1410</v>
      </c>
      <c r="G836" s="54">
        <v>425000</v>
      </c>
      <c r="H836" s="239" t="s">
        <v>797</v>
      </c>
      <c r="I836" s="434">
        <f>I837+I838</f>
        <v>2575000</v>
      </c>
      <c r="J836" s="434">
        <f>J837+J838</f>
        <v>1575000</v>
      </c>
      <c r="K836" s="434">
        <f>K837+K838</f>
        <v>8690</v>
      </c>
      <c r="L836" s="517"/>
    </row>
    <row r="837" spans="1:12" ht="12.75">
      <c r="A837" s="86"/>
      <c r="B837" s="86"/>
      <c r="C837" s="214"/>
      <c r="D837" s="270"/>
      <c r="E837" s="87"/>
      <c r="F837" s="200" t="s">
        <v>1411</v>
      </c>
      <c r="G837" s="524">
        <v>425100</v>
      </c>
      <c r="H837" s="4" t="s">
        <v>909</v>
      </c>
      <c r="I837" s="435">
        <v>2500000</v>
      </c>
      <c r="J837" s="688">
        <v>1500000</v>
      </c>
      <c r="K837" s="435">
        <v>0</v>
      </c>
      <c r="L837" s="517"/>
    </row>
    <row r="838" spans="1:12" ht="12.75">
      <c r="A838" s="82"/>
      <c r="B838" s="82"/>
      <c r="C838" s="214"/>
      <c r="D838" s="270"/>
      <c r="E838" s="83"/>
      <c r="F838" s="200" t="s">
        <v>1412</v>
      </c>
      <c r="G838" s="35">
        <v>425200</v>
      </c>
      <c r="H838" s="52" t="s">
        <v>910</v>
      </c>
      <c r="I838" s="435">
        <v>75000</v>
      </c>
      <c r="J838" s="435">
        <v>75000</v>
      </c>
      <c r="K838" s="435">
        <v>8690</v>
      </c>
      <c r="L838" s="517"/>
    </row>
    <row r="839" spans="1:12" s="22" customFormat="1" ht="13.5">
      <c r="A839" s="88"/>
      <c r="B839" s="88"/>
      <c r="C839" s="214"/>
      <c r="D839" s="270"/>
      <c r="E839" s="89"/>
      <c r="F839" s="200" t="s">
        <v>1413</v>
      </c>
      <c r="G839" s="528">
        <v>426000</v>
      </c>
      <c r="H839" s="20" t="s">
        <v>795</v>
      </c>
      <c r="I839" s="434">
        <f>I840+I841+I842+I843+I844+I845</f>
        <v>325000</v>
      </c>
      <c r="J839" s="434">
        <f>J840+J841+J842+J843+J844+J845</f>
        <v>325000</v>
      </c>
      <c r="K839" s="434">
        <f>K840+K841+K842+K843+K844+K845</f>
        <v>156957.83</v>
      </c>
      <c r="L839" s="517"/>
    </row>
    <row r="840" spans="1:12" ht="12.75">
      <c r="A840" s="86"/>
      <c r="B840" s="86"/>
      <c r="C840" s="214"/>
      <c r="D840" s="270"/>
      <c r="E840" s="87"/>
      <c r="F840" s="200" t="s">
        <v>1414</v>
      </c>
      <c r="G840" s="524">
        <v>426100</v>
      </c>
      <c r="H840" s="4" t="s">
        <v>911</v>
      </c>
      <c r="I840" s="435">
        <v>75000</v>
      </c>
      <c r="J840" s="435">
        <v>75000</v>
      </c>
      <c r="K840" s="435">
        <v>29629.7</v>
      </c>
      <c r="L840" s="517"/>
    </row>
    <row r="841" spans="1:12" ht="12.75">
      <c r="A841" s="82"/>
      <c r="B841" s="82"/>
      <c r="C841" s="214"/>
      <c r="D841" s="270"/>
      <c r="E841" s="83"/>
      <c r="F841" s="200" t="s">
        <v>1415</v>
      </c>
      <c r="G841" s="524">
        <v>426300</v>
      </c>
      <c r="H841" s="4" t="s">
        <v>229</v>
      </c>
      <c r="I841" s="435">
        <v>60000</v>
      </c>
      <c r="J841" s="435">
        <v>60000</v>
      </c>
      <c r="K841" s="435">
        <v>58300</v>
      </c>
      <c r="L841" s="517"/>
    </row>
    <row r="842" spans="1:12" ht="12.75">
      <c r="A842" s="82"/>
      <c r="B842" s="82"/>
      <c r="C842" s="214"/>
      <c r="D842" s="270"/>
      <c r="E842" s="83"/>
      <c r="F842" s="200" t="s">
        <v>1417</v>
      </c>
      <c r="G842" s="524">
        <v>426400</v>
      </c>
      <c r="H842" s="4" t="s">
        <v>215</v>
      </c>
      <c r="I842" s="435">
        <v>110000</v>
      </c>
      <c r="J842" s="435">
        <v>110000</v>
      </c>
      <c r="K842" s="435">
        <v>38244.23</v>
      </c>
      <c r="L842" s="517"/>
    </row>
    <row r="843" spans="1:12" ht="12.75">
      <c r="A843" s="82"/>
      <c r="B843" s="82"/>
      <c r="C843" s="214"/>
      <c r="D843" s="270"/>
      <c r="E843" s="83"/>
      <c r="F843" s="200" t="s">
        <v>1416</v>
      </c>
      <c r="G843" s="524" t="s">
        <v>594</v>
      </c>
      <c r="H843" s="4" t="s">
        <v>923</v>
      </c>
      <c r="I843" s="435">
        <v>25000</v>
      </c>
      <c r="J843" s="435">
        <v>25000</v>
      </c>
      <c r="K843" s="435">
        <v>0</v>
      </c>
      <c r="L843" s="517"/>
    </row>
    <row r="844" spans="1:12" ht="12.75">
      <c r="A844" s="82"/>
      <c r="B844" s="82"/>
      <c r="C844" s="214"/>
      <c r="D844" s="270"/>
      <c r="E844" s="83"/>
      <c r="F844" s="200" t="s">
        <v>1418</v>
      </c>
      <c r="G844" s="524">
        <v>426800</v>
      </c>
      <c r="H844" s="5" t="s">
        <v>913</v>
      </c>
      <c r="I844" s="435">
        <v>30000</v>
      </c>
      <c r="J844" s="435">
        <v>30000</v>
      </c>
      <c r="K844" s="435">
        <v>15498.9</v>
      </c>
      <c r="L844" s="517"/>
    </row>
    <row r="845" spans="1:12" ht="12.75">
      <c r="A845" s="82"/>
      <c r="B845" s="82"/>
      <c r="C845" s="214"/>
      <c r="D845" s="270"/>
      <c r="E845" s="83"/>
      <c r="F845" s="200" t="s">
        <v>1419</v>
      </c>
      <c r="G845" s="524">
        <v>426900</v>
      </c>
      <c r="H845" s="4" t="s">
        <v>944</v>
      </c>
      <c r="I845" s="435">
        <v>25000</v>
      </c>
      <c r="J845" s="435">
        <v>25000</v>
      </c>
      <c r="K845" s="435">
        <v>15285</v>
      </c>
      <c r="L845" s="517"/>
    </row>
    <row r="846" spans="1:12" s="22" customFormat="1" ht="12.75">
      <c r="A846" s="88"/>
      <c r="B846" s="88"/>
      <c r="C846" s="214"/>
      <c r="D846" s="270"/>
      <c r="E846" s="89"/>
      <c r="F846" s="200" t="s">
        <v>1420</v>
      </c>
      <c r="G846" s="529" t="s">
        <v>381</v>
      </c>
      <c r="H846" s="41" t="s">
        <v>384</v>
      </c>
      <c r="I846" s="436">
        <f>I847</f>
        <v>1932000</v>
      </c>
      <c r="J846" s="436">
        <f>J847</f>
        <v>1932000</v>
      </c>
      <c r="K846" s="436">
        <f>K847</f>
        <v>1061710.7</v>
      </c>
      <c r="L846" s="517"/>
    </row>
    <row r="847" spans="1:12" ht="12.75">
      <c r="A847" s="82"/>
      <c r="B847" s="82"/>
      <c r="C847" s="214"/>
      <c r="D847" s="270"/>
      <c r="E847" s="83"/>
      <c r="F847" s="200" t="s">
        <v>1421</v>
      </c>
      <c r="G847" s="524" t="s">
        <v>382</v>
      </c>
      <c r="H847" s="5" t="s">
        <v>383</v>
      </c>
      <c r="I847" s="435">
        <v>1932000</v>
      </c>
      <c r="J847" s="435">
        <v>1932000</v>
      </c>
      <c r="K847" s="435">
        <v>1061710.7</v>
      </c>
      <c r="L847" s="517"/>
    </row>
    <row r="848" spans="1:12" s="22" customFormat="1" ht="13.5">
      <c r="A848" s="88"/>
      <c r="B848" s="88"/>
      <c r="C848" s="214"/>
      <c r="D848" s="270"/>
      <c r="E848" s="89"/>
      <c r="F848" s="200" t="s">
        <v>1422</v>
      </c>
      <c r="G848" s="54">
        <v>482000</v>
      </c>
      <c r="H848" s="23" t="s">
        <v>859</v>
      </c>
      <c r="I848" s="434">
        <f>I849+I850+I851</f>
        <v>135000</v>
      </c>
      <c r="J848" s="434">
        <f>J849+J850+J851</f>
        <v>135000</v>
      </c>
      <c r="K848" s="434">
        <f>K849+K850+K851</f>
        <v>0</v>
      </c>
      <c r="L848" s="517"/>
    </row>
    <row r="849" spans="1:12" s="22" customFormat="1" ht="12.75">
      <c r="A849" s="88"/>
      <c r="B849" s="88"/>
      <c r="C849" s="214"/>
      <c r="D849" s="270"/>
      <c r="E849" s="89"/>
      <c r="F849" s="200" t="s">
        <v>1423</v>
      </c>
      <c r="G849" s="35" t="s">
        <v>371</v>
      </c>
      <c r="H849" s="76" t="s">
        <v>582</v>
      </c>
      <c r="I849" s="435">
        <v>50000</v>
      </c>
      <c r="J849" s="435">
        <v>50000</v>
      </c>
      <c r="K849" s="435">
        <v>0</v>
      </c>
      <c r="L849" s="517"/>
    </row>
    <row r="850" spans="1:12" ht="12.75">
      <c r="A850" s="86"/>
      <c r="B850" s="86"/>
      <c r="C850" s="214"/>
      <c r="D850" s="270"/>
      <c r="E850" s="87"/>
      <c r="F850" s="200" t="s">
        <v>1424</v>
      </c>
      <c r="G850" s="35">
        <v>482200</v>
      </c>
      <c r="H850" s="52" t="s">
        <v>914</v>
      </c>
      <c r="I850" s="435">
        <v>35000</v>
      </c>
      <c r="J850" s="435">
        <v>35000</v>
      </c>
      <c r="K850" s="435">
        <v>0</v>
      </c>
      <c r="L850" s="517"/>
    </row>
    <row r="851" spans="1:12" ht="12.75">
      <c r="A851" s="82"/>
      <c r="B851" s="82"/>
      <c r="C851" s="214"/>
      <c r="D851" s="270"/>
      <c r="E851" s="83"/>
      <c r="F851" s="200" t="s">
        <v>1425</v>
      </c>
      <c r="G851" s="35">
        <v>482300</v>
      </c>
      <c r="H851" s="52" t="s">
        <v>239</v>
      </c>
      <c r="I851" s="435">
        <v>50000</v>
      </c>
      <c r="J851" s="435">
        <v>50000</v>
      </c>
      <c r="K851" s="435">
        <v>0</v>
      </c>
      <c r="L851" s="517"/>
    </row>
    <row r="852" spans="1:12" s="22" customFormat="1" ht="13.5">
      <c r="A852" s="88"/>
      <c r="B852" s="88"/>
      <c r="C852" s="214"/>
      <c r="D852" s="270"/>
      <c r="E852" s="89"/>
      <c r="F852" s="200" t="s">
        <v>1426</v>
      </c>
      <c r="G852" s="54">
        <v>483000</v>
      </c>
      <c r="H852" s="23" t="s">
        <v>860</v>
      </c>
      <c r="I852" s="434">
        <f>I853</f>
        <v>50000</v>
      </c>
      <c r="J852" s="434">
        <f>J853</f>
        <v>50000</v>
      </c>
      <c r="K852" s="434">
        <f>K853</f>
        <v>0</v>
      </c>
      <c r="L852" s="517"/>
    </row>
    <row r="853" spans="1:12" ht="12.75">
      <c r="A853" s="86"/>
      <c r="B853" s="86"/>
      <c r="C853" s="214"/>
      <c r="D853" s="270"/>
      <c r="E853" s="87"/>
      <c r="F853" s="200" t="s">
        <v>1427</v>
      </c>
      <c r="G853" s="35">
        <v>483100</v>
      </c>
      <c r="H853" s="52" t="s">
        <v>860</v>
      </c>
      <c r="I853" s="435">
        <v>50000</v>
      </c>
      <c r="J853" s="435">
        <v>50000</v>
      </c>
      <c r="K853" s="435">
        <v>0</v>
      </c>
      <c r="L853" s="517"/>
    </row>
    <row r="854" spans="1:12" s="22" customFormat="1" ht="13.5">
      <c r="A854" s="88"/>
      <c r="B854" s="88"/>
      <c r="C854" s="214"/>
      <c r="D854" s="270"/>
      <c r="E854" s="89"/>
      <c r="F854" s="200" t="s">
        <v>1428</v>
      </c>
      <c r="G854" s="54">
        <v>512000</v>
      </c>
      <c r="H854" s="239" t="s">
        <v>796</v>
      </c>
      <c r="I854" s="434">
        <f>I855</f>
        <v>350000</v>
      </c>
      <c r="J854" s="434">
        <f>J855</f>
        <v>350000</v>
      </c>
      <c r="K854" s="434">
        <f>K855</f>
        <v>57488</v>
      </c>
      <c r="L854" s="517"/>
    </row>
    <row r="855" spans="1:12" ht="12.75">
      <c r="A855" s="82"/>
      <c r="B855" s="82"/>
      <c r="C855" s="214"/>
      <c r="D855" s="270"/>
      <c r="E855" s="83"/>
      <c r="F855" s="200" t="s">
        <v>1429</v>
      </c>
      <c r="G855" s="35">
        <v>512200</v>
      </c>
      <c r="H855" s="52" t="s">
        <v>916</v>
      </c>
      <c r="I855" s="435">
        <v>350000</v>
      </c>
      <c r="J855" s="435">
        <v>350000</v>
      </c>
      <c r="K855" s="435">
        <v>57488</v>
      </c>
      <c r="L855" s="517"/>
    </row>
    <row r="856" spans="1:12" s="22" customFormat="1" ht="18.75" customHeight="1">
      <c r="A856" s="88"/>
      <c r="B856" s="88"/>
      <c r="C856" s="214"/>
      <c r="D856" s="270"/>
      <c r="E856" s="89"/>
      <c r="F856" s="200" t="s">
        <v>1430</v>
      </c>
      <c r="G856" s="54">
        <v>541000</v>
      </c>
      <c r="H856" s="239" t="s">
        <v>865</v>
      </c>
      <c r="I856" s="434">
        <f>I857</f>
        <v>0</v>
      </c>
      <c r="J856" s="434">
        <f>J857</f>
        <v>1000000</v>
      </c>
      <c r="K856" s="434">
        <f>K857</f>
        <v>0</v>
      </c>
      <c r="L856" s="517"/>
    </row>
    <row r="857" spans="1:12" ht="15" customHeight="1">
      <c r="A857" s="86"/>
      <c r="B857" s="86"/>
      <c r="C857" s="214"/>
      <c r="D857" s="270"/>
      <c r="E857" s="87"/>
      <c r="F857" s="200" t="s">
        <v>1431</v>
      </c>
      <c r="G857" s="35">
        <v>541100</v>
      </c>
      <c r="H857" s="52" t="s">
        <v>865</v>
      </c>
      <c r="I857" s="435">
        <v>0</v>
      </c>
      <c r="J857" s="688">
        <v>1000000</v>
      </c>
      <c r="K857" s="435">
        <v>0</v>
      </c>
      <c r="L857" s="517"/>
    </row>
    <row r="858" spans="1:12" s="36" customFormat="1" ht="12.75">
      <c r="A858" s="82"/>
      <c r="B858" s="82"/>
      <c r="C858" s="214"/>
      <c r="D858" s="270"/>
      <c r="E858" s="83"/>
      <c r="F858" s="200"/>
      <c r="G858" s="524"/>
      <c r="H858" s="290"/>
      <c r="I858" s="435"/>
      <c r="J858" s="435"/>
      <c r="K858" s="435"/>
      <c r="L858" s="517"/>
    </row>
    <row r="859" spans="1:12" s="36" customFormat="1" ht="12.75">
      <c r="A859" s="82"/>
      <c r="B859" s="82"/>
      <c r="C859" s="214"/>
      <c r="D859" s="270"/>
      <c r="E859" s="83"/>
      <c r="F859" s="200"/>
      <c r="G859" s="524"/>
      <c r="H859" s="292" t="s">
        <v>623</v>
      </c>
      <c r="I859" s="436">
        <f>I805+I807+I811+I814+I816+I824+I826+I834+I836+I839+I846+I848+I852+I854+I856</f>
        <v>30705000</v>
      </c>
      <c r="J859" s="436">
        <f>J856+J854+J852+J848+J846+J839+J836+J834+J826+J824+J816+J814+J811+J807+J805</f>
        <v>30705000</v>
      </c>
      <c r="K859" s="436">
        <f>K856+K854+K852+K848+K846+K839+K836+K834+K826+K816+K814+K811+K807+K805+K824</f>
        <v>14021076.97</v>
      </c>
      <c r="L859" s="517"/>
    </row>
    <row r="860" spans="1:12" s="36" customFormat="1" ht="12.75">
      <c r="A860" s="86"/>
      <c r="B860" s="86"/>
      <c r="C860" s="214"/>
      <c r="D860" s="270"/>
      <c r="E860" s="87"/>
      <c r="F860" s="200"/>
      <c r="G860" s="35"/>
      <c r="H860" s="7"/>
      <c r="I860" s="435"/>
      <c r="J860" s="435"/>
      <c r="K860" s="435"/>
      <c r="L860" s="517"/>
    </row>
    <row r="861" spans="1:12" s="36" customFormat="1" ht="12.75">
      <c r="A861" s="82"/>
      <c r="B861" s="82"/>
      <c r="C861" s="214"/>
      <c r="D861" s="270"/>
      <c r="E861" s="83"/>
      <c r="F861" s="200"/>
      <c r="G861" s="35"/>
      <c r="H861" s="292" t="s">
        <v>624</v>
      </c>
      <c r="I861" s="665">
        <f>I859</f>
        <v>30705000</v>
      </c>
      <c r="J861" s="436">
        <f>J859</f>
        <v>30705000</v>
      </c>
      <c r="K861" s="603">
        <f>K859</f>
        <v>14021076.97</v>
      </c>
      <c r="L861" s="517"/>
    </row>
    <row r="862" spans="1:12" s="36" customFormat="1" ht="12.75">
      <c r="A862" s="82"/>
      <c r="B862" s="82"/>
      <c r="C862" s="214"/>
      <c r="D862" s="270"/>
      <c r="E862" s="83"/>
      <c r="F862" s="200"/>
      <c r="G862" s="35"/>
      <c r="H862" s="292"/>
      <c r="I862" s="435"/>
      <c r="J862" s="435"/>
      <c r="K862" s="435"/>
      <c r="L862" s="517"/>
    </row>
    <row r="863" spans="1:12" s="36" customFormat="1" ht="12.75">
      <c r="A863" s="82"/>
      <c r="B863" s="82"/>
      <c r="C863" s="214"/>
      <c r="D863" s="270"/>
      <c r="E863" s="83"/>
      <c r="F863" s="200"/>
      <c r="G863" s="35"/>
      <c r="H863" s="247"/>
      <c r="I863" s="436"/>
      <c r="J863" s="436"/>
      <c r="K863" s="436"/>
      <c r="L863" s="517"/>
    </row>
    <row r="864" spans="1:12" s="55" customFormat="1" ht="12.75" customHeight="1">
      <c r="A864" s="88"/>
      <c r="B864" s="88"/>
      <c r="C864" s="214"/>
      <c r="D864" s="274" t="s">
        <v>658</v>
      </c>
      <c r="E864" s="89"/>
      <c r="F864" s="200"/>
      <c r="G864" s="527"/>
      <c r="H864" s="92" t="s">
        <v>577</v>
      </c>
      <c r="I864" s="432"/>
      <c r="J864" s="432"/>
      <c r="K864" s="432"/>
      <c r="L864" s="517"/>
    </row>
    <row r="865" spans="1:12" s="55" customFormat="1" ht="18" customHeight="1">
      <c r="A865" s="88"/>
      <c r="B865" s="88"/>
      <c r="C865" s="214"/>
      <c r="D865" s="274" t="s">
        <v>716</v>
      </c>
      <c r="E865" s="89"/>
      <c r="F865" s="200"/>
      <c r="G865" s="527"/>
      <c r="H865" s="125" t="s">
        <v>721</v>
      </c>
      <c r="I865" s="432"/>
      <c r="J865" s="432"/>
      <c r="K865" s="432"/>
      <c r="L865" s="517"/>
    </row>
    <row r="866" spans="1:12" s="22" customFormat="1" ht="15" customHeight="1">
      <c r="A866" s="88"/>
      <c r="B866" s="88"/>
      <c r="C866" s="214"/>
      <c r="D866" s="270"/>
      <c r="E866" s="166" t="s">
        <v>625</v>
      </c>
      <c r="F866" s="317"/>
      <c r="G866" s="527"/>
      <c r="H866" s="91" t="s">
        <v>578</v>
      </c>
      <c r="I866" s="461"/>
      <c r="J866" s="461"/>
      <c r="K866" s="461"/>
      <c r="L866" s="517"/>
    </row>
    <row r="867" spans="1:12" s="138" customFormat="1" ht="13.5">
      <c r="A867" s="134"/>
      <c r="B867" s="134"/>
      <c r="C867" s="200"/>
      <c r="D867" s="275"/>
      <c r="E867" s="137"/>
      <c r="F867" s="200" t="s">
        <v>1432</v>
      </c>
      <c r="G867" s="74" t="s">
        <v>604</v>
      </c>
      <c r="H867" s="20" t="s">
        <v>799</v>
      </c>
      <c r="I867" s="436">
        <f>I868</f>
        <v>13800000</v>
      </c>
      <c r="J867" s="436">
        <f>J868</f>
        <v>13800000</v>
      </c>
      <c r="K867" s="436">
        <f>K868</f>
        <v>11609645.29</v>
      </c>
      <c r="L867" s="517"/>
    </row>
    <row r="868" spans="1:12" s="36" customFormat="1" ht="12.75">
      <c r="A868" s="82"/>
      <c r="B868" s="82"/>
      <c r="C868" s="214"/>
      <c r="D868" s="270"/>
      <c r="E868" s="83"/>
      <c r="F868" s="200" t="s">
        <v>1433</v>
      </c>
      <c r="G868" s="35" t="s">
        <v>605</v>
      </c>
      <c r="H868" s="4" t="s">
        <v>920</v>
      </c>
      <c r="I868" s="435">
        <v>13800000</v>
      </c>
      <c r="J868" s="435">
        <v>13800000</v>
      </c>
      <c r="K868" s="435">
        <v>11609645.29</v>
      </c>
      <c r="L868" s="517"/>
    </row>
    <row r="869" spans="1:12" s="36" customFormat="1" ht="13.5">
      <c r="A869" s="82"/>
      <c r="B869" s="82"/>
      <c r="C869" s="214"/>
      <c r="D869" s="270"/>
      <c r="E869" s="83"/>
      <c r="F869" s="200"/>
      <c r="G869" s="54" t="s">
        <v>460</v>
      </c>
      <c r="H869" s="20" t="s">
        <v>794</v>
      </c>
      <c r="I869" s="434">
        <f>I870</f>
        <v>50000</v>
      </c>
      <c r="J869" s="434">
        <f>J870</f>
        <v>50000</v>
      </c>
      <c r="K869" s="434">
        <f>K870</f>
        <v>0</v>
      </c>
      <c r="L869" s="517"/>
    </row>
    <row r="870" spans="1:12" s="36" customFormat="1" ht="12.75">
      <c r="A870" s="82"/>
      <c r="B870" s="82"/>
      <c r="C870" s="214"/>
      <c r="D870" s="270"/>
      <c r="E870" s="83"/>
      <c r="F870" s="200"/>
      <c r="G870" s="35" t="s">
        <v>370</v>
      </c>
      <c r="H870" s="4" t="s">
        <v>903</v>
      </c>
      <c r="I870" s="435">
        <v>50000</v>
      </c>
      <c r="J870" s="435">
        <v>50000</v>
      </c>
      <c r="K870" s="435">
        <v>0</v>
      </c>
      <c r="L870" s="517"/>
    </row>
    <row r="871" spans="1:12" s="138" customFormat="1" ht="13.5">
      <c r="A871" s="134"/>
      <c r="B871" s="134"/>
      <c r="C871" s="200"/>
      <c r="D871" s="275"/>
      <c r="E871" s="137"/>
      <c r="F871" s="200" t="s">
        <v>1434</v>
      </c>
      <c r="G871" s="74" t="s">
        <v>361</v>
      </c>
      <c r="H871" s="20" t="s">
        <v>800</v>
      </c>
      <c r="I871" s="434">
        <f>I872</f>
        <v>350000</v>
      </c>
      <c r="J871" s="434">
        <f>J872</f>
        <v>350000</v>
      </c>
      <c r="K871" s="436">
        <f>K872</f>
        <v>188876.66</v>
      </c>
      <c r="L871" s="517"/>
    </row>
    <row r="872" spans="1:12" s="36" customFormat="1" ht="12.75">
      <c r="A872" s="82"/>
      <c r="B872" s="82"/>
      <c r="C872" s="214"/>
      <c r="D872" s="270"/>
      <c r="E872" s="83"/>
      <c r="F872" s="200" t="s">
        <v>1435</v>
      </c>
      <c r="G872" s="35" t="s">
        <v>612</v>
      </c>
      <c r="H872" s="4" t="s">
        <v>934</v>
      </c>
      <c r="I872" s="435">
        <v>350000</v>
      </c>
      <c r="J872" s="435">
        <v>350000</v>
      </c>
      <c r="K872" s="435">
        <v>188876.66</v>
      </c>
      <c r="L872" s="517"/>
    </row>
    <row r="873" spans="1:12" s="138" customFormat="1" ht="13.5">
      <c r="A873" s="134"/>
      <c r="B873" s="134"/>
      <c r="C873" s="200"/>
      <c r="D873" s="275"/>
      <c r="E873" s="137"/>
      <c r="F873" s="200" t="s">
        <v>1436</v>
      </c>
      <c r="G873" s="74" t="s">
        <v>607</v>
      </c>
      <c r="H873" s="239" t="s">
        <v>797</v>
      </c>
      <c r="I873" s="436">
        <f>I874</f>
        <v>8000000</v>
      </c>
      <c r="J873" s="436">
        <f>J874</f>
        <v>8000000</v>
      </c>
      <c r="K873" s="436">
        <f>K874</f>
        <v>5718358.28</v>
      </c>
      <c r="L873" s="517"/>
    </row>
    <row r="874" spans="1:12" s="36" customFormat="1" ht="12.75">
      <c r="A874" s="82"/>
      <c r="B874" s="82"/>
      <c r="C874" s="214"/>
      <c r="D874" s="270"/>
      <c r="E874" s="83"/>
      <c r="F874" s="200" t="s">
        <v>1437</v>
      </c>
      <c r="G874" s="35" t="s">
        <v>608</v>
      </c>
      <c r="H874" s="4" t="s">
        <v>909</v>
      </c>
      <c r="I874" s="435">
        <v>8000000</v>
      </c>
      <c r="J874" s="435">
        <v>8000000</v>
      </c>
      <c r="K874" s="435">
        <v>5718358.28</v>
      </c>
      <c r="L874" s="517"/>
    </row>
    <row r="875" spans="1:12" s="138" customFormat="1" ht="13.5">
      <c r="A875" s="134"/>
      <c r="B875" s="134"/>
      <c r="C875" s="200"/>
      <c r="D875" s="275"/>
      <c r="E875" s="137"/>
      <c r="F875" s="200" t="s">
        <v>1438</v>
      </c>
      <c r="G875" s="74" t="s">
        <v>353</v>
      </c>
      <c r="H875" s="23" t="s">
        <v>859</v>
      </c>
      <c r="I875" s="436">
        <f>I876+I877</f>
        <v>150000</v>
      </c>
      <c r="J875" s="436">
        <f>J876+J877</f>
        <v>150000</v>
      </c>
      <c r="K875" s="434">
        <f>K876+K877</f>
        <v>0</v>
      </c>
      <c r="L875" s="517"/>
    </row>
    <row r="876" spans="1:12" s="36" customFormat="1" ht="12.75">
      <c r="A876" s="82"/>
      <c r="B876" s="82"/>
      <c r="C876" s="214"/>
      <c r="D876" s="270"/>
      <c r="E876" s="83"/>
      <c r="F876" s="200" t="s">
        <v>1439</v>
      </c>
      <c r="G876" s="35" t="s">
        <v>372</v>
      </c>
      <c r="H876" s="52" t="s">
        <v>914</v>
      </c>
      <c r="I876" s="435">
        <v>50000</v>
      </c>
      <c r="J876" s="435">
        <v>50000</v>
      </c>
      <c r="K876" s="435">
        <v>0</v>
      </c>
      <c r="L876" s="517"/>
    </row>
    <row r="877" spans="1:12" s="36" customFormat="1" ht="12.75">
      <c r="A877" s="82"/>
      <c r="B877" s="82"/>
      <c r="C877" s="214"/>
      <c r="D877" s="270"/>
      <c r="E877" s="83"/>
      <c r="F877" s="200"/>
      <c r="G877" s="524" t="s">
        <v>597</v>
      </c>
      <c r="H877" s="291" t="s">
        <v>239</v>
      </c>
      <c r="I877" s="435">
        <v>100000</v>
      </c>
      <c r="J877" s="435">
        <v>100000</v>
      </c>
      <c r="K877" s="435">
        <v>0</v>
      </c>
      <c r="L877" s="517"/>
    </row>
    <row r="878" spans="1:12" s="36" customFormat="1" ht="12.75">
      <c r="A878" s="82"/>
      <c r="B878" s="82"/>
      <c r="C878" s="214"/>
      <c r="D878" s="270"/>
      <c r="E878" s="83"/>
      <c r="F878" s="200"/>
      <c r="G878" s="524"/>
      <c r="H878" s="291"/>
      <c r="I878" s="435"/>
      <c r="J878" s="435"/>
      <c r="K878" s="435"/>
      <c r="L878" s="517"/>
    </row>
    <row r="879" spans="1:12" s="36" customFormat="1" ht="12.75">
      <c r="A879" s="82"/>
      <c r="B879" s="82"/>
      <c r="C879" s="214"/>
      <c r="D879" s="270"/>
      <c r="E879" s="83"/>
      <c r="F879" s="200"/>
      <c r="G879" s="524"/>
      <c r="H879" s="292" t="s">
        <v>626</v>
      </c>
      <c r="I879" s="436">
        <f>I867+I869+I871+I873+I875</f>
        <v>22350000</v>
      </c>
      <c r="J879" s="436">
        <f>J875+J873+J871+J869+J867</f>
        <v>22350000</v>
      </c>
      <c r="K879" s="436">
        <f>K875+K873+K871+K869+K867</f>
        <v>17516880.23</v>
      </c>
      <c r="L879" s="517"/>
    </row>
    <row r="880" spans="1:12" s="36" customFormat="1" ht="12.75">
      <c r="A880" s="82"/>
      <c r="B880" s="82"/>
      <c r="C880" s="214"/>
      <c r="D880" s="270"/>
      <c r="E880" s="83"/>
      <c r="F880" s="200"/>
      <c r="G880" s="524"/>
      <c r="H880" s="292"/>
      <c r="I880" s="436"/>
      <c r="J880" s="436"/>
      <c r="K880" s="436"/>
      <c r="L880" s="517"/>
    </row>
    <row r="881" spans="1:12" s="36" customFormat="1" ht="12.75">
      <c r="A881" s="82"/>
      <c r="B881" s="82"/>
      <c r="C881" s="214"/>
      <c r="D881" s="270"/>
      <c r="E881" s="83"/>
      <c r="F881" s="200"/>
      <c r="G881" s="35"/>
      <c r="H881" s="292" t="s">
        <v>661</v>
      </c>
      <c r="I881" s="436">
        <f>I879</f>
        <v>22350000</v>
      </c>
      <c r="J881" s="436">
        <f>J867+J869+J871+J873+J875</f>
        <v>22350000</v>
      </c>
      <c r="K881" s="603">
        <f>K879</f>
        <v>17516880.23</v>
      </c>
      <c r="L881" s="517"/>
    </row>
    <row r="882" spans="1:12" s="36" customFormat="1" ht="12.75">
      <c r="A882" s="82"/>
      <c r="B882" s="82"/>
      <c r="C882" s="214"/>
      <c r="D882" s="270"/>
      <c r="E882" s="83"/>
      <c r="F882" s="200"/>
      <c r="G882" s="524"/>
      <c r="H882" s="292"/>
      <c r="I882" s="436"/>
      <c r="J882" s="436"/>
      <c r="K882" s="436"/>
      <c r="L882" s="517"/>
    </row>
    <row r="883" spans="1:12" s="36" customFormat="1" ht="12.75">
      <c r="A883" s="82"/>
      <c r="B883" s="82"/>
      <c r="C883" s="214"/>
      <c r="D883" s="270"/>
      <c r="E883" s="83"/>
      <c r="F883" s="200"/>
      <c r="G883" s="35"/>
      <c r="H883" s="247"/>
      <c r="I883" s="436"/>
      <c r="J883" s="436"/>
      <c r="K883" s="436"/>
      <c r="L883" s="517"/>
    </row>
    <row r="884" spans="1:12" s="55" customFormat="1" ht="12.75" customHeight="1">
      <c r="A884" s="88"/>
      <c r="B884" s="88"/>
      <c r="C884" s="214"/>
      <c r="D884" s="274" t="s">
        <v>737</v>
      </c>
      <c r="E884" s="89"/>
      <c r="F884" s="200"/>
      <c r="G884" s="527"/>
      <c r="H884" s="92" t="s">
        <v>580</v>
      </c>
      <c r="I884" s="432"/>
      <c r="J884" s="432"/>
      <c r="K884" s="432"/>
      <c r="L884" s="517"/>
    </row>
    <row r="885" spans="1:12" s="55" customFormat="1" ht="18" customHeight="1">
      <c r="A885" s="88"/>
      <c r="B885" s="88"/>
      <c r="C885" s="214"/>
      <c r="D885" s="274" t="s">
        <v>738</v>
      </c>
      <c r="E885" s="89"/>
      <c r="F885" s="200"/>
      <c r="G885" s="527"/>
      <c r="H885" s="125" t="s">
        <v>739</v>
      </c>
      <c r="I885" s="432"/>
      <c r="J885" s="432"/>
      <c r="K885" s="432"/>
      <c r="L885" s="517"/>
    </row>
    <row r="886" spans="1:12" s="22" customFormat="1" ht="15" customHeight="1">
      <c r="A886" s="88"/>
      <c r="B886" s="88"/>
      <c r="C886" s="214"/>
      <c r="D886" s="270"/>
      <c r="E886" s="89" t="s">
        <v>627</v>
      </c>
      <c r="F886" s="200"/>
      <c r="G886" s="527"/>
      <c r="H886" s="91" t="s">
        <v>581</v>
      </c>
      <c r="I886" s="461"/>
      <c r="J886" s="461"/>
      <c r="K886" s="461"/>
      <c r="L886" s="517"/>
    </row>
    <row r="887" spans="1:12" s="22" customFormat="1" ht="13.5">
      <c r="A887" s="88"/>
      <c r="B887" s="88"/>
      <c r="C887" s="214"/>
      <c r="D887" s="270"/>
      <c r="E887" s="89"/>
      <c r="F887" s="200" t="s">
        <v>1440</v>
      </c>
      <c r="G887" s="54">
        <v>423000</v>
      </c>
      <c r="H887" s="239" t="s">
        <v>794</v>
      </c>
      <c r="I887" s="434">
        <f>I888</f>
        <v>400000</v>
      </c>
      <c r="J887" s="434">
        <f>J888</f>
        <v>400000</v>
      </c>
      <c r="K887" s="434">
        <f>K888</f>
        <v>399901.2</v>
      </c>
      <c r="L887" s="517"/>
    </row>
    <row r="888" spans="1:12" ht="12.75">
      <c r="A888" s="82"/>
      <c r="B888" s="82"/>
      <c r="C888" s="214"/>
      <c r="D888" s="270"/>
      <c r="E888" s="83"/>
      <c r="F888" s="200" t="s">
        <v>1441</v>
      </c>
      <c r="G888" s="524">
        <v>423500</v>
      </c>
      <c r="H888" s="5" t="s">
        <v>903</v>
      </c>
      <c r="I888" s="435">
        <v>400000</v>
      </c>
      <c r="J888" s="435">
        <v>400000</v>
      </c>
      <c r="K888" s="435">
        <v>399901.2</v>
      </c>
      <c r="L888" s="517"/>
    </row>
    <row r="889" spans="1:12" s="22" customFormat="1" ht="13.5">
      <c r="A889" s="88"/>
      <c r="B889" s="88"/>
      <c r="C889" s="214"/>
      <c r="D889" s="270"/>
      <c r="E889" s="89"/>
      <c r="F889" s="200" t="s">
        <v>1442</v>
      </c>
      <c r="G889" s="528">
        <v>424000</v>
      </c>
      <c r="H889" s="20" t="s">
        <v>800</v>
      </c>
      <c r="I889" s="434">
        <f>I890</f>
        <v>5000000</v>
      </c>
      <c r="J889" s="434">
        <f>J890</f>
        <v>5000000</v>
      </c>
      <c r="K889" s="434">
        <f>K890</f>
        <v>2266756</v>
      </c>
      <c r="L889" s="517"/>
    </row>
    <row r="890" spans="1:12" ht="25.5">
      <c r="A890" s="86"/>
      <c r="B890" s="86"/>
      <c r="C890" s="214"/>
      <c r="D890" s="270"/>
      <c r="E890" s="87"/>
      <c r="F890" s="200" t="s">
        <v>1443</v>
      </c>
      <c r="G890" s="524">
        <v>424600</v>
      </c>
      <c r="H890" s="5" t="s">
        <v>908</v>
      </c>
      <c r="I890" s="435">
        <v>5000000</v>
      </c>
      <c r="J890" s="435">
        <v>5000000</v>
      </c>
      <c r="K890" s="435">
        <v>2266756</v>
      </c>
      <c r="L890" s="517"/>
    </row>
    <row r="891" spans="1:12" s="22" customFormat="1" ht="13.5">
      <c r="A891" s="88"/>
      <c r="B891" s="88"/>
      <c r="C891" s="214"/>
      <c r="D891" s="270"/>
      <c r="E891" s="89"/>
      <c r="F891" s="200" t="s">
        <v>1444</v>
      </c>
      <c r="G891" s="54">
        <v>482000</v>
      </c>
      <c r="H891" s="23" t="s">
        <v>859</v>
      </c>
      <c r="I891" s="434">
        <f>I892</f>
        <v>20000</v>
      </c>
      <c r="J891" s="434">
        <f>J892</f>
        <v>20000</v>
      </c>
      <c r="K891" s="434">
        <f>K892</f>
        <v>0</v>
      </c>
      <c r="L891" s="517"/>
    </row>
    <row r="892" spans="1:12" ht="12.75">
      <c r="A892" s="86"/>
      <c r="B892" s="86"/>
      <c r="C892" s="214"/>
      <c r="D892" s="270"/>
      <c r="E892" s="87"/>
      <c r="F892" s="200" t="s">
        <v>1445</v>
      </c>
      <c r="G892" s="35">
        <v>482200</v>
      </c>
      <c r="H892" s="52" t="s">
        <v>914</v>
      </c>
      <c r="I892" s="435">
        <v>20000</v>
      </c>
      <c r="J892" s="435">
        <v>20000</v>
      </c>
      <c r="K892" s="435">
        <v>0</v>
      </c>
      <c r="L892" s="517"/>
    </row>
    <row r="893" spans="1:12" s="22" customFormat="1" ht="13.5">
      <c r="A893" s="88"/>
      <c r="B893" s="88"/>
      <c r="C893" s="214"/>
      <c r="D893" s="270"/>
      <c r="E893" s="89"/>
      <c r="F893" s="200" t="s">
        <v>1446</v>
      </c>
      <c r="G893" s="54">
        <v>511000</v>
      </c>
      <c r="H893" s="25" t="s">
        <v>802</v>
      </c>
      <c r="I893" s="434">
        <f>I894+I895+I896</f>
        <v>22100000</v>
      </c>
      <c r="J893" s="434">
        <f>J894+J895+J896</f>
        <v>22100000</v>
      </c>
      <c r="K893" s="604">
        <f>K894+K895+K896</f>
        <v>3867078.96</v>
      </c>
      <c r="L893" s="517"/>
    </row>
    <row r="894" spans="1:12" ht="12.75">
      <c r="A894" s="86"/>
      <c r="B894" s="86"/>
      <c r="C894" s="214"/>
      <c r="D894" s="270"/>
      <c r="E894" s="87"/>
      <c r="F894" s="200" t="s">
        <v>1447</v>
      </c>
      <c r="G894" s="35">
        <v>511200</v>
      </c>
      <c r="H894" s="6" t="s">
        <v>887</v>
      </c>
      <c r="I894" s="435">
        <v>2400000</v>
      </c>
      <c r="J894" s="435">
        <v>2400000</v>
      </c>
      <c r="K894" s="435">
        <v>0</v>
      </c>
      <c r="L894" s="517"/>
    </row>
    <row r="895" spans="1:12" ht="12.75">
      <c r="A895" s="82"/>
      <c r="B895" s="82"/>
      <c r="C895" s="214"/>
      <c r="D895" s="270"/>
      <c r="E895" s="83"/>
      <c r="F895" s="200" t="s">
        <v>1448</v>
      </c>
      <c r="G895" s="35">
        <v>511300</v>
      </c>
      <c r="H895" s="7" t="s">
        <v>888</v>
      </c>
      <c r="I895" s="435">
        <v>11200000</v>
      </c>
      <c r="J895" s="435">
        <v>11200000</v>
      </c>
      <c r="K895" s="435">
        <v>3146028.96</v>
      </c>
      <c r="L895" s="517"/>
    </row>
    <row r="896" spans="1:12" ht="12.75">
      <c r="A896" s="82"/>
      <c r="B896" s="82"/>
      <c r="C896" s="214"/>
      <c r="D896" s="270"/>
      <c r="E896" s="83"/>
      <c r="F896" s="200" t="s">
        <v>1449</v>
      </c>
      <c r="G896" s="35">
        <v>511400</v>
      </c>
      <c r="H896" s="7" t="s">
        <v>889</v>
      </c>
      <c r="I896" s="435">
        <v>8500000</v>
      </c>
      <c r="J896" s="435">
        <v>8500000</v>
      </c>
      <c r="K896" s="435">
        <v>721050</v>
      </c>
      <c r="L896" s="517"/>
    </row>
    <row r="897" spans="1:12" s="36" customFormat="1" ht="12.75">
      <c r="A897" s="82"/>
      <c r="B897" s="82"/>
      <c r="C897" s="214"/>
      <c r="D897" s="270"/>
      <c r="E897" s="83"/>
      <c r="F897" s="200"/>
      <c r="G897" s="524"/>
      <c r="H897" s="291"/>
      <c r="I897" s="435"/>
      <c r="J897" s="435"/>
      <c r="K897" s="435"/>
      <c r="L897" s="517"/>
    </row>
    <row r="898" spans="1:12" s="36" customFormat="1" ht="12.75">
      <c r="A898" s="82"/>
      <c r="B898" s="82"/>
      <c r="C898" s="214"/>
      <c r="D898" s="270"/>
      <c r="E898" s="83"/>
      <c r="F898" s="200"/>
      <c r="G898" s="524"/>
      <c r="H898" s="292" t="s">
        <v>621</v>
      </c>
      <c r="I898" s="436">
        <f>I893+I891+I889+I887</f>
        <v>27520000</v>
      </c>
      <c r="J898" s="436">
        <f>J893+J891+J889+J887</f>
        <v>27520000</v>
      </c>
      <c r="K898" s="603">
        <f>K893+K891+K889+K887</f>
        <v>6533736.16</v>
      </c>
      <c r="L898" s="517"/>
    </row>
    <row r="899" spans="1:12" s="36" customFormat="1" ht="12.75">
      <c r="A899" s="82"/>
      <c r="B899" s="82"/>
      <c r="C899" s="214"/>
      <c r="D899" s="270"/>
      <c r="E899" s="83"/>
      <c r="F899" s="200"/>
      <c r="G899" s="35"/>
      <c r="H899" s="247"/>
      <c r="I899" s="436"/>
      <c r="J899" s="436"/>
      <c r="K899" s="436"/>
      <c r="L899" s="517"/>
    </row>
    <row r="900" spans="1:12" s="55" customFormat="1" ht="18" customHeight="1">
      <c r="A900" s="88"/>
      <c r="B900" s="88"/>
      <c r="C900" s="214"/>
      <c r="D900" s="274" t="s">
        <v>740</v>
      </c>
      <c r="E900" s="89"/>
      <c r="F900" s="200"/>
      <c r="G900" s="527"/>
      <c r="H900" s="125" t="s">
        <v>741</v>
      </c>
      <c r="I900" s="432"/>
      <c r="J900" s="432"/>
      <c r="K900" s="432"/>
      <c r="L900" s="517"/>
    </row>
    <row r="901" spans="1:12" s="22" customFormat="1" ht="15" customHeight="1">
      <c r="A901" s="88"/>
      <c r="B901" s="88"/>
      <c r="C901" s="214"/>
      <c r="D901" s="270"/>
      <c r="E901" s="89" t="s">
        <v>627</v>
      </c>
      <c r="F901" s="200"/>
      <c r="G901" s="527"/>
      <c r="H901" s="91" t="s">
        <v>581</v>
      </c>
      <c r="I901" s="461"/>
      <c r="J901" s="461"/>
      <c r="K901" s="461"/>
      <c r="L901" s="517"/>
    </row>
    <row r="902" spans="1:12" s="22" customFormat="1" ht="13.5">
      <c r="A902" s="88"/>
      <c r="B902" s="88"/>
      <c r="C902" s="214"/>
      <c r="D902" s="270"/>
      <c r="E902" s="89"/>
      <c r="F902" s="200" t="s">
        <v>1450</v>
      </c>
      <c r="G902" s="54">
        <v>425000</v>
      </c>
      <c r="H902" s="239" t="s">
        <v>797</v>
      </c>
      <c r="I902" s="434">
        <f>I903</f>
        <v>67750000</v>
      </c>
      <c r="J902" s="434">
        <f>J903</f>
        <v>67750000</v>
      </c>
      <c r="K902" s="604">
        <f>K903</f>
        <v>14781622</v>
      </c>
      <c r="L902" s="517"/>
    </row>
    <row r="903" spans="1:12" ht="12.75">
      <c r="A903" s="86"/>
      <c r="B903" s="86"/>
      <c r="C903" s="214"/>
      <c r="D903" s="270"/>
      <c r="E903" s="87"/>
      <c r="F903" s="200" t="s">
        <v>1451</v>
      </c>
      <c r="G903" s="524">
        <v>425100</v>
      </c>
      <c r="H903" s="4" t="s">
        <v>909</v>
      </c>
      <c r="I903" s="435">
        <v>67750000</v>
      </c>
      <c r="J903" s="435">
        <v>67750000</v>
      </c>
      <c r="K903" s="435">
        <v>14781622</v>
      </c>
      <c r="L903" s="517"/>
    </row>
    <row r="904" spans="1:12" s="22" customFormat="1" ht="13.5">
      <c r="A904" s="88"/>
      <c r="B904" s="88"/>
      <c r="C904" s="214"/>
      <c r="D904" s="270"/>
      <c r="E904" s="89"/>
      <c r="F904" s="200" t="s">
        <v>1452</v>
      </c>
      <c r="G904" s="54">
        <v>482000</v>
      </c>
      <c r="H904" s="23" t="s">
        <v>859</v>
      </c>
      <c r="I904" s="434">
        <f>I905+I906</f>
        <v>150000</v>
      </c>
      <c r="J904" s="434">
        <f>J905+J906</f>
        <v>150000</v>
      </c>
      <c r="K904" s="434">
        <f>K905+K906</f>
        <v>0</v>
      </c>
      <c r="L904" s="517"/>
    </row>
    <row r="905" spans="1:12" ht="12.75">
      <c r="A905" s="86"/>
      <c r="B905" s="86"/>
      <c r="C905" s="214"/>
      <c r="D905" s="270"/>
      <c r="E905" s="87"/>
      <c r="F905" s="200" t="s">
        <v>1453</v>
      </c>
      <c r="G905" s="35">
        <v>482200</v>
      </c>
      <c r="H905" s="52" t="s">
        <v>914</v>
      </c>
      <c r="I905" s="435">
        <v>50000</v>
      </c>
      <c r="J905" s="435">
        <v>50000</v>
      </c>
      <c r="K905" s="435">
        <v>0</v>
      </c>
      <c r="L905" s="517"/>
    </row>
    <row r="906" spans="1:12" ht="12.75">
      <c r="A906" s="82"/>
      <c r="B906" s="82"/>
      <c r="C906" s="214"/>
      <c r="D906" s="270"/>
      <c r="E906" s="83"/>
      <c r="F906" s="200" t="s">
        <v>1454</v>
      </c>
      <c r="G906" s="35">
        <v>482300</v>
      </c>
      <c r="H906" s="52" t="s">
        <v>239</v>
      </c>
      <c r="I906" s="435">
        <v>100000</v>
      </c>
      <c r="J906" s="435">
        <v>100000</v>
      </c>
      <c r="K906" s="435">
        <v>0</v>
      </c>
      <c r="L906" s="517"/>
    </row>
    <row r="907" spans="1:12" ht="12.75">
      <c r="A907" s="82"/>
      <c r="B907" s="82"/>
      <c r="C907" s="214"/>
      <c r="D907" s="270"/>
      <c r="E907" s="83"/>
      <c r="F907" s="200"/>
      <c r="G907" s="35"/>
      <c r="H907" s="52"/>
      <c r="I907" s="435"/>
      <c r="J907" s="435"/>
      <c r="K907" s="435"/>
      <c r="L907" s="517"/>
    </row>
    <row r="908" spans="1:12" s="36" customFormat="1" ht="12.75">
      <c r="A908" s="82"/>
      <c r="B908" s="82"/>
      <c r="C908" s="214"/>
      <c r="D908" s="270"/>
      <c r="E908" s="83"/>
      <c r="F908" s="200"/>
      <c r="G908" s="524"/>
      <c r="H908" s="290" t="s">
        <v>555</v>
      </c>
      <c r="I908" s="436">
        <f>I902+I904</f>
        <v>67900000</v>
      </c>
      <c r="J908" s="436">
        <f>J902+J904</f>
        <v>67900000</v>
      </c>
      <c r="K908" s="746">
        <f>K902+K904</f>
        <v>14781622</v>
      </c>
      <c r="L908" s="517"/>
    </row>
    <row r="909" spans="1:12" s="36" customFormat="1" ht="12.75">
      <c r="A909" s="82"/>
      <c r="B909" s="82"/>
      <c r="C909" s="214"/>
      <c r="D909" s="270"/>
      <c r="E909" s="83"/>
      <c r="F909" s="200"/>
      <c r="G909" s="524"/>
      <c r="H909" s="290"/>
      <c r="I909" s="435"/>
      <c r="J909" s="435"/>
      <c r="K909" s="658"/>
      <c r="L909" s="517"/>
    </row>
    <row r="910" spans="1:12" s="36" customFormat="1" ht="12.75">
      <c r="A910" s="474"/>
      <c r="B910" s="474"/>
      <c r="C910" s="475"/>
      <c r="D910" s="476"/>
      <c r="E910" s="477"/>
      <c r="F910" s="478"/>
      <c r="G910" s="483"/>
      <c r="H910" s="484" t="s">
        <v>16</v>
      </c>
      <c r="I910" s="481">
        <f>I908+I881+I898+I861</f>
        <v>148475000</v>
      </c>
      <c r="J910" s="481">
        <f>J908+J881+J898+J861</f>
        <v>148475000</v>
      </c>
      <c r="K910" s="603">
        <f>K908+K881+K898+K861</f>
        <v>52853315.36</v>
      </c>
      <c r="L910" s="517"/>
    </row>
    <row r="911" spans="1:12" s="36" customFormat="1" ht="13.5" thickBot="1">
      <c r="A911" s="294"/>
      <c r="B911" s="294"/>
      <c r="C911" s="295"/>
      <c r="D911" s="296"/>
      <c r="E911" s="297"/>
      <c r="F911" s="298"/>
      <c r="G911" s="299"/>
      <c r="H911" s="304"/>
      <c r="I911" s="440"/>
      <c r="J911" s="440"/>
      <c r="K911" s="440"/>
      <c r="L911" s="517"/>
    </row>
    <row r="912" spans="1:12" s="22" customFormat="1" ht="15.75" thickBot="1" thickTop="1">
      <c r="A912" s="104"/>
      <c r="B912" s="104">
        <v>21</v>
      </c>
      <c r="C912" s="213" t="s">
        <v>188</v>
      </c>
      <c r="D912" s="267"/>
      <c r="E912" s="105"/>
      <c r="F912" s="198"/>
      <c r="G912" s="525"/>
      <c r="H912" s="106" t="s">
        <v>798</v>
      </c>
      <c r="I912" s="457"/>
      <c r="J912" s="457"/>
      <c r="K912" s="457"/>
      <c r="L912" s="517"/>
    </row>
    <row r="913" spans="1:12" s="22" customFormat="1" ht="16.5" customHeight="1" thickTop="1">
      <c r="A913" s="283"/>
      <c r="B913" s="283"/>
      <c r="C913" s="284"/>
      <c r="D913" s="285" t="s">
        <v>658</v>
      </c>
      <c r="E913" s="286"/>
      <c r="F913" s="301"/>
      <c r="G913" s="526"/>
      <c r="H913" s="288" t="s">
        <v>657</v>
      </c>
      <c r="I913" s="431"/>
      <c r="J913" s="431"/>
      <c r="K913" s="431"/>
      <c r="L913" s="517"/>
    </row>
    <row r="914" spans="1:12" s="22" customFormat="1" ht="18" customHeight="1">
      <c r="A914" s="88"/>
      <c r="B914" s="88"/>
      <c r="C914" s="214"/>
      <c r="D914" s="274" t="s">
        <v>659</v>
      </c>
      <c r="E914" s="89"/>
      <c r="F914" s="200"/>
      <c r="G914" s="527"/>
      <c r="H914" s="125" t="s">
        <v>232</v>
      </c>
      <c r="I914" s="432"/>
      <c r="J914" s="432"/>
      <c r="K914" s="432"/>
      <c r="L914" s="517"/>
    </row>
    <row r="915" spans="1:12" s="22" customFormat="1" ht="15.75" customHeight="1">
      <c r="A915" s="88"/>
      <c r="B915" s="88"/>
      <c r="C915" s="214"/>
      <c r="D915" s="270"/>
      <c r="E915" s="89">
        <v>630</v>
      </c>
      <c r="F915" s="200"/>
      <c r="G915" s="527"/>
      <c r="H915" s="238" t="s">
        <v>232</v>
      </c>
      <c r="I915" s="432"/>
      <c r="J915" s="432"/>
      <c r="K915" s="432"/>
      <c r="L915" s="517"/>
    </row>
    <row r="916" spans="1:12" s="22" customFormat="1" ht="27">
      <c r="A916" s="88"/>
      <c r="B916" s="88"/>
      <c r="C916" s="214"/>
      <c r="D916" s="270"/>
      <c r="E916" s="89"/>
      <c r="F916" s="200" t="s">
        <v>1455</v>
      </c>
      <c r="G916" s="248">
        <v>451000</v>
      </c>
      <c r="H916" s="249" t="s">
        <v>831</v>
      </c>
      <c r="I916" s="438">
        <f>I917+I918</f>
        <v>187670000</v>
      </c>
      <c r="J916" s="438">
        <f>J917+J918</f>
        <v>187670000</v>
      </c>
      <c r="K916" s="438">
        <f>K917+K918</f>
        <v>70645207.91</v>
      </c>
      <c r="L916" s="517"/>
    </row>
    <row r="917" spans="1:12" s="8" customFormat="1" ht="25.5">
      <c r="A917" s="86"/>
      <c r="B917" s="86"/>
      <c r="C917" s="214"/>
      <c r="D917" s="270"/>
      <c r="E917" s="87"/>
      <c r="F917" s="200" t="s">
        <v>1456</v>
      </c>
      <c r="G917" s="48">
        <v>451100</v>
      </c>
      <c r="H917" s="250" t="s">
        <v>217</v>
      </c>
      <c r="I917" s="437">
        <v>128000000</v>
      </c>
      <c r="J917" s="437">
        <v>128000000</v>
      </c>
      <c r="K917" s="437">
        <v>70645207.91</v>
      </c>
      <c r="L917" s="517"/>
    </row>
    <row r="918" spans="1:12" s="8" customFormat="1" ht="25.5">
      <c r="A918" s="82"/>
      <c r="B918" s="82"/>
      <c r="C918" s="214"/>
      <c r="D918" s="270"/>
      <c r="E918" s="83"/>
      <c r="F918" s="200" t="s">
        <v>1457</v>
      </c>
      <c r="G918" s="48">
        <v>451200</v>
      </c>
      <c r="H918" s="250" t="s">
        <v>327</v>
      </c>
      <c r="I918" s="437">
        <v>59670000</v>
      </c>
      <c r="J918" s="437">
        <v>59670000</v>
      </c>
      <c r="K918" s="437">
        <v>0</v>
      </c>
      <c r="L918" s="517"/>
    </row>
    <row r="919" spans="1:12" s="8" customFormat="1" ht="12.75">
      <c r="A919" s="82"/>
      <c r="B919" s="82"/>
      <c r="C919" s="214"/>
      <c r="D919" s="270"/>
      <c r="E919" s="83"/>
      <c r="F919" s="200"/>
      <c r="G919" s="48"/>
      <c r="H919" s="250"/>
      <c r="I919" s="437"/>
      <c r="J919" s="437"/>
      <c r="K919" s="437"/>
      <c r="L919" s="517"/>
    </row>
    <row r="920" spans="1:12" s="36" customFormat="1" ht="12.75">
      <c r="A920" s="82"/>
      <c r="B920" s="82"/>
      <c r="C920" s="214"/>
      <c r="D920" s="270"/>
      <c r="E920" s="83"/>
      <c r="F920" s="200"/>
      <c r="G920" s="524"/>
      <c r="H920" s="292" t="s">
        <v>660</v>
      </c>
      <c r="I920" s="436">
        <f>I916</f>
        <v>187670000</v>
      </c>
      <c r="J920" s="436">
        <f>J916</f>
        <v>187670000</v>
      </c>
      <c r="K920" s="436">
        <f>K916</f>
        <v>70645207.91</v>
      </c>
      <c r="L920" s="517"/>
    </row>
    <row r="921" spans="1:12" s="36" customFormat="1" ht="12.75">
      <c r="A921" s="86"/>
      <c r="B921" s="86"/>
      <c r="C921" s="214"/>
      <c r="D921" s="270"/>
      <c r="E921" s="87"/>
      <c r="F921" s="200"/>
      <c r="G921" s="35"/>
      <c r="H921" s="7"/>
      <c r="I921" s="435"/>
      <c r="J921" s="435"/>
      <c r="K921" s="435"/>
      <c r="L921" s="517"/>
    </row>
    <row r="922" spans="1:12" s="36" customFormat="1" ht="12.75">
      <c r="A922" s="474"/>
      <c r="B922" s="474"/>
      <c r="C922" s="475"/>
      <c r="D922" s="476"/>
      <c r="E922" s="477"/>
      <c r="F922" s="478"/>
      <c r="G922" s="483"/>
      <c r="H922" s="484" t="s">
        <v>17</v>
      </c>
      <c r="I922" s="481">
        <f>I920</f>
        <v>187670000</v>
      </c>
      <c r="J922" s="481">
        <f>J920</f>
        <v>187670000</v>
      </c>
      <c r="K922" s="603">
        <f>K920</f>
        <v>70645207.91</v>
      </c>
      <c r="L922" s="517"/>
    </row>
    <row r="923" spans="1:12" s="36" customFormat="1" ht="13.5" thickBot="1">
      <c r="A923" s="294"/>
      <c r="B923" s="294"/>
      <c r="C923" s="295"/>
      <c r="D923" s="296"/>
      <c r="E923" s="297"/>
      <c r="F923" s="298"/>
      <c r="G923" s="299"/>
      <c r="H923" s="304"/>
      <c r="I923" s="440"/>
      <c r="J923" s="440"/>
      <c r="K923" s="440"/>
      <c r="L923" s="517"/>
    </row>
    <row r="924" spans="1:12" s="55" customFormat="1" ht="30" thickBot="1" thickTop="1">
      <c r="A924" s="104"/>
      <c r="B924" s="104">
        <v>22</v>
      </c>
      <c r="C924" s="213" t="s">
        <v>180</v>
      </c>
      <c r="D924" s="267"/>
      <c r="E924" s="105"/>
      <c r="F924" s="198"/>
      <c r="G924" s="525"/>
      <c r="H924" s="129" t="s">
        <v>325</v>
      </c>
      <c r="I924" s="457"/>
      <c r="J924" s="457"/>
      <c r="K924" s="457"/>
      <c r="L924" s="517"/>
    </row>
    <row r="925" spans="1:12" s="55" customFormat="1" ht="45" customHeight="1" thickTop="1">
      <c r="A925" s="283"/>
      <c r="B925" s="283"/>
      <c r="C925" s="284"/>
      <c r="D925" s="285" t="s">
        <v>663</v>
      </c>
      <c r="E925" s="286"/>
      <c r="F925" s="301"/>
      <c r="G925" s="526"/>
      <c r="H925" s="288" t="s">
        <v>662</v>
      </c>
      <c r="I925" s="431"/>
      <c r="J925" s="431"/>
      <c r="K925" s="431"/>
      <c r="L925" s="517"/>
    </row>
    <row r="926" spans="1:12" s="55" customFormat="1" ht="18" customHeight="1">
      <c r="A926" s="88"/>
      <c r="B926" s="88"/>
      <c r="C926" s="214"/>
      <c r="D926" s="274" t="s">
        <v>664</v>
      </c>
      <c r="E926" s="89"/>
      <c r="F926" s="200"/>
      <c r="G926" s="527"/>
      <c r="H926" s="125" t="s">
        <v>665</v>
      </c>
      <c r="I926" s="432"/>
      <c r="J926" s="432"/>
      <c r="K926" s="432"/>
      <c r="L926" s="517"/>
    </row>
    <row r="927" spans="1:12" s="55" customFormat="1" ht="13.5">
      <c r="A927" s="88"/>
      <c r="B927" s="88"/>
      <c r="C927" s="214"/>
      <c r="D927" s="270"/>
      <c r="E927" s="89">
        <v>412</v>
      </c>
      <c r="F927" s="200"/>
      <c r="G927" s="534"/>
      <c r="H927" s="91" t="s">
        <v>326</v>
      </c>
      <c r="I927" s="449"/>
      <c r="J927" s="449"/>
      <c r="K927" s="449"/>
      <c r="L927" s="517"/>
    </row>
    <row r="928" spans="1:12" s="55" customFormat="1" ht="13.5">
      <c r="A928" s="88"/>
      <c r="B928" s="88"/>
      <c r="C928" s="214"/>
      <c r="D928" s="270"/>
      <c r="E928" s="89"/>
      <c r="F928" s="200" t="s">
        <v>1458</v>
      </c>
      <c r="G928" s="528" t="s">
        <v>645</v>
      </c>
      <c r="H928" s="20" t="s">
        <v>800</v>
      </c>
      <c r="I928" s="434">
        <f>I929+I930</f>
        <v>32000000</v>
      </c>
      <c r="J928" s="434">
        <f>J929+J930</f>
        <v>34500000</v>
      </c>
      <c r="K928" s="434">
        <f>K929+K930</f>
        <v>7196391.09</v>
      </c>
      <c r="L928" s="517"/>
    </row>
    <row r="929" spans="1:12" s="36" customFormat="1" ht="12.75">
      <c r="A929" s="86"/>
      <c r="B929" s="86"/>
      <c r="C929" s="214"/>
      <c r="D929" s="270"/>
      <c r="E929" s="87"/>
      <c r="F929" s="200" t="s">
        <v>1459</v>
      </c>
      <c r="G929" s="524" t="s">
        <v>748</v>
      </c>
      <c r="H929" s="4" t="s">
        <v>1617</v>
      </c>
      <c r="I929" s="435">
        <v>2000000</v>
      </c>
      <c r="J929" s="435">
        <v>2000000</v>
      </c>
      <c r="K929" s="435">
        <v>0</v>
      </c>
      <c r="L929" s="517"/>
    </row>
    <row r="930" spans="1:12" s="36" customFormat="1" ht="38.25">
      <c r="A930" s="86"/>
      <c r="B930" s="86"/>
      <c r="C930" s="214"/>
      <c r="D930" s="270"/>
      <c r="E930" s="87"/>
      <c r="F930" s="200" t="s">
        <v>1460</v>
      </c>
      <c r="G930" s="524" t="s">
        <v>748</v>
      </c>
      <c r="H930" s="4" t="s">
        <v>1618</v>
      </c>
      <c r="I930" s="435">
        <v>30000000</v>
      </c>
      <c r="J930" s="842">
        <v>32500000</v>
      </c>
      <c r="K930" s="435">
        <v>7196391.09</v>
      </c>
      <c r="L930" s="517"/>
    </row>
    <row r="931" spans="1:12" s="36" customFormat="1" ht="12.75">
      <c r="A931" s="82"/>
      <c r="B931" s="82"/>
      <c r="C931" s="214"/>
      <c r="D931" s="270"/>
      <c r="E931" s="83"/>
      <c r="F931" s="200"/>
      <c r="G931" s="524"/>
      <c r="H931" s="290"/>
      <c r="I931" s="435"/>
      <c r="J931" s="435"/>
      <c r="K931" s="435"/>
      <c r="L931" s="517"/>
    </row>
    <row r="932" spans="1:12" s="36" customFormat="1" ht="12.75">
      <c r="A932" s="82"/>
      <c r="B932" s="82"/>
      <c r="C932" s="214"/>
      <c r="D932" s="270"/>
      <c r="E932" s="83"/>
      <c r="F932" s="200"/>
      <c r="G932" s="524"/>
      <c r="H932" s="292" t="s">
        <v>673</v>
      </c>
      <c r="I932" s="436">
        <f>I928</f>
        <v>32000000</v>
      </c>
      <c r="J932" s="436">
        <f>J928</f>
        <v>34500000</v>
      </c>
      <c r="K932" s="436">
        <f>K928</f>
        <v>7196391.09</v>
      </c>
      <c r="L932" s="517"/>
    </row>
    <row r="933" spans="1:12" s="36" customFormat="1" ht="12.75">
      <c r="A933" s="82"/>
      <c r="B933" s="82"/>
      <c r="C933" s="214"/>
      <c r="D933" s="270"/>
      <c r="E933" s="83"/>
      <c r="F933" s="200"/>
      <c r="G933" s="524"/>
      <c r="H933" s="292"/>
      <c r="I933" s="436"/>
      <c r="J933" s="436"/>
      <c r="K933" s="436"/>
      <c r="L933" s="517"/>
    </row>
    <row r="934" spans="1:12" s="36" customFormat="1" ht="12.75">
      <c r="A934" s="82"/>
      <c r="B934" s="82"/>
      <c r="C934" s="214"/>
      <c r="D934" s="270"/>
      <c r="E934" s="83"/>
      <c r="F934" s="200"/>
      <c r="G934" s="35"/>
      <c r="H934" s="292" t="s">
        <v>666</v>
      </c>
      <c r="I934" s="436">
        <f>I932</f>
        <v>32000000</v>
      </c>
      <c r="J934" s="436">
        <f>J932</f>
        <v>34500000</v>
      </c>
      <c r="K934" s="436">
        <f>K932</f>
        <v>7196391.09</v>
      </c>
      <c r="L934" s="517"/>
    </row>
    <row r="935" spans="1:12" s="36" customFormat="1" ht="12.75">
      <c r="A935" s="82"/>
      <c r="B935" s="82"/>
      <c r="C935" s="214"/>
      <c r="D935" s="270"/>
      <c r="E935" s="83"/>
      <c r="F935" s="200"/>
      <c r="G935" s="35"/>
      <c r="H935" s="292"/>
      <c r="I935" s="435"/>
      <c r="J935" s="435"/>
      <c r="K935" s="435"/>
      <c r="L935" s="517"/>
    </row>
    <row r="936" spans="1:12" s="36" customFormat="1" ht="12.75">
      <c r="A936" s="474"/>
      <c r="B936" s="474"/>
      <c r="C936" s="475"/>
      <c r="D936" s="476"/>
      <c r="E936" s="477"/>
      <c r="F936" s="478"/>
      <c r="G936" s="483"/>
      <c r="H936" s="484" t="s">
        <v>18</v>
      </c>
      <c r="I936" s="481">
        <f>I934</f>
        <v>32000000</v>
      </c>
      <c r="J936" s="687">
        <f>J934</f>
        <v>34500000</v>
      </c>
      <c r="K936" s="603">
        <f>K934</f>
        <v>7196391.09</v>
      </c>
      <c r="L936" s="517"/>
    </row>
    <row r="937" spans="1:12" s="36" customFormat="1" ht="13.5" thickBot="1">
      <c r="A937" s="294"/>
      <c r="B937" s="294"/>
      <c r="C937" s="295"/>
      <c r="D937" s="296"/>
      <c r="E937" s="297"/>
      <c r="F937" s="298"/>
      <c r="G937" s="299"/>
      <c r="H937" s="304"/>
      <c r="I937" s="440"/>
      <c r="J937" s="440"/>
      <c r="K937" s="440"/>
      <c r="L937" s="517"/>
    </row>
    <row r="938" spans="1:12" s="36" customFormat="1" ht="14.25" thickBot="1" thickTop="1">
      <c r="A938" s="294"/>
      <c r="B938" s="294"/>
      <c r="C938" s="295"/>
      <c r="D938" s="296"/>
      <c r="E938" s="297"/>
      <c r="F938" s="298"/>
      <c r="G938" s="299"/>
      <c r="H938" s="304"/>
      <c r="I938" s="440"/>
      <c r="J938" s="440"/>
      <c r="K938" s="440"/>
      <c r="L938" s="517"/>
    </row>
    <row r="939" spans="1:12" s="22" customFormat="1" ht="15.75" thickBot="1" thickTop="1">
      <c r="A939" s="104"/>
      <c r="B939" s="104">
        <v>24</v>
      </c>
      <c r="C939" s="213" t="s">
        <v>180</v>
      </c>
      <c r="D939" s="267"/>
      <c r="E939" s="105"/>
      <c r="F939" s="198"/>
      <c r="G939" s="525"/>
      <c r="H939" s="106" t="s">
        <v>236</v>
      </c>
      <c r="I939" s="457"/>
      <c r="J939" s="457"/>
      <c r="K939" s="457"/>
      <c r="L939" s="517"/>
    </row>
    <row r="940" spans="1:12" s="22" customFormat="1" ht="16.5" customHeight="1" thickTop="1">
      <c r="A940" s="283"/>
      <c r="B940" s="283"/>
      <c r="C940" s="284"/>
      <c r="D940" s="285" t="s">
        <v>667</v>
      </c>
      <c r="E940" s="286"/>
      <c r="F940" s="301"/>
      <c r="G940" s="526"/>
      <c r="H940" s="288" t="s">
        <v>669</v>
      </c>
      <c r="I940" s="431"/>
      <c r="J940" s="431"/>
      <c r="K940" s="431"/>
      <c r="L940" s="517"/>
    </row>
    <row r="941" spans="1:12" s="22" customFormat="1" ht="18" customHeight="1">
      <c r="A941" s="88"/>
      <c r="B941" s="88"/>
      <c r="C941" s="214"/>
      <c r="D941" s="274" t="s">
        <v>668</v>
      </c>
      <c r="E941" s="89"/>
      <c r="F941" s="200"/>
      <c r="G941" s="527"/>
      <c r="H941" s="125" t="s">
        <v>633</v>
      </c>
      <c r="I941" s="432"/>
      <c r="J941" s="432"/>
      <c r="K941" s="432"/>
      <c r="L941" s="517"/>
    </row>
    <row r="942" spans="1:12" s="22" customFormat="1" ht="15" customHeight="1">
      <c r="A942" s="88"/>
      <c r="B942" s="88"/>
      <c r="C942" s="214"/>
      <c r="D942" s="270"/>
      <c r="E942" s="89">
        <v>421</v>
      </c>
      <c r="F942" s="200"/>
      <c r="G942" s="534"/>
      <c r="H942" s="91" t="s">
        <v>251</v>
      </c>
      <c r="I942" s="449"/>
      <c r="J942" s="449"/>
      <c r="K942" s="449"/>
      <c r="L942" s="517"/>
    </row>
    <row r="943" spans="1:12" s="22" customFormat="1" ht="13.5">
      <c r="A943" s="88"/>
      <c r="B943" s="88"/>
      <c r="C943" s="214"/>
      <c r="D943" s="270"/>
      <c r="E943" s="89"/>
      <c r="F943" s="200" t="s">
        <v>1461</v>
      </c>
      <c r="G943" s="528">
        <v>424000</v>
      </c>
      <c r="H943" s="20" t="s">
        <v>800</v>
      </c>
      <c r="I943" s="434">
        <f>I944</f>
        <v>2500000</v>
      </c>
      <c r="J943" s="434">
        <f>J944</f>
        <v>2500000</v>
      </c>
      <c r="K943" s="434">
        <f>K944</f>
        <v>0</v>
      </c>
      <c r="L943" s="517"/>
    </row>
    <row r="944" spans="1:12" ht="12.75">
      <c r="A944" s="86"/>
      <c r="B944" s="86"/>
      <c r="C944" s="214"/>
      <c r="D944" s="270"/>
      <c r="E944" s="87"/>
      <c r="F944" s="200" t="s">
        <v>1462</v>
      </c>
      <c r="G944" s="524">
        <v>424900</v>
      </c>
      <c r="H944" s="4" t="s">
        <v>934</v>
      </c>
      <c r="I944" s="435">
        <v>2500000</v>
      </c>
      <c r="J944" s="435">
        <v>2500000</v>
      </c>
      <c r="K944" s="435">
        <v>0</v>
      </c>
      <c r="L944" s="517"/>
    </row>
    <row r="945" spans="1:12" ht="12.75">
      <c r="A945" s="82"/>
      <c r="B945" s="82"/>
      <c r="C945" s="214"/>
      <c r="D945" s="270"/>
      <c r="E945" s="83"/>
      <c r="F945" s="200" t="s">
        <v>1463</v>
      </c>
      <c r="G945" s="524"/>
      <c r="H945" s="4" t="s">
        <v>331</v>
      </c>
      <c r="I945" s="435">
        <v>2500000</v>
      </c>
      <c r="J945" s="435">
        <v>2500000</v>
      </c>
      <c r="K945" s="435">
        <v>0</v>
      </c>
      <c r="L945" s="517"/>
    </row>
    <row r="946" spans="1:12" s="24" customFormat="1" ht="13.5">
      <c r="A946" s="84"/>
      <c r="B946" s="84"/>
      <c r="C946" s="215"/>
      <c r="D946" s="208"/>
      <c r="E946" s="85"/>
      <c r="F946" s="200" t="s">
        <v>1464</v>
      </c>
      <c r="G946" s="528">
        <v>425000</v>
      </c>
      <c r="H946" s="20" t="s">
        <v>797</v>
      </c>
      <c r="I946" s="434">
        <f>I947</f>
        <v>15600000</v>
      </c>
      <c r="J946" s="434">
        <f>J947</f>
        <v>15600000</v>
      </c>
      <c r="K946" s="434">
        <f>K947</f>
        <v>0</v>
      </c>
      <c r="L946" s="517"/>
    </row>
    <row r="947" spans="1:12" ht="12.75">
      <c r="A947" s="86"/>
      <c r="B947" s="86"/>
      <c r="C947" s="214"/>
      <c r="D947" s="270"/>
      <c r="E947" s="87"/>
      <c r="F947" s="200" t="s">
        <v>1465</v>
      </c>
      <c r="G947" s="524">
        <v>425100</v>
      </c>
      <c r="H947" s="4" t="s">
        <v>909</v>
      </c>
      <c r="I947" s="435">
        <v>15600000</v>
      </c>
      <c r="J947" s="435">
        <v>15600000</v>
      </c>
      <c r="K947" s="435">
        <v>0</v>
      </c>
      <c r="L947" s="517"/>
    </row>
    <row r="948" spans="1:13" ht="12.75">
      <c r="A948" s="82"/>
      <c r="B948" s="82"/>
      <c r="C948" s="214"/>
      <c r="D948" s="270"/>
      <c r="E948" s="83"/>
      <c r="F948" s="200" t="s">
        <v>1466</v>
      </c>
      <c r="G948" s="524"/>
      <c r="H948" s="4" t="s">
        <v>329</v>
      </c>
      <c r="I948" s="435">
        <v>15000000</v>
      </c>
      <c r="J948" s="435">
        <v>15000000</v>
      </c>
      <c r="K948" s="435">
        <v>0</v>
      </c>
      <c r="L948" s="517"/>
      <c r="M948" s="135"/>
    </row>
    <row r="949" spans="1:12" ht="12.75">
      <c r="A949" s="82"/>
      <c r="B949" s="82"/>
      <c r="C949" s="214"/>
      <c r="D949" s="270"/>
      <c r="E949" s="83"/>
      <c r="F949" s="200" t="s">
        <v>1467</v>
      </c>
      <c r="G949" s="524"/>
      <c r="H949" s="4" t="s">
        <v>330</v>
      </c>
      <c r="I949" s="435">
        <v>600000</v>
      </c>
      <c r="J949" s="435">
        <v>600000</v>
      </c>
      <c r="K949" s="435">
        <v>0</v>
      </c>
      <c r="L949" s="517"/>
    </row>
    <row r="950" spans="1:12" s="24" customFormat="1" ht="13.5">
      <c r="A950" s="84"/>
      <c r="B950" s="84"/>
      <c r="C950" s="215"/>
      <c r="D950" s="208"/>
      <c r="E950" s="85"/>
      <c r="F950" s="200" t="s">
        <v>1468</v>
      </c>
      <c r="G950" s="528">
        <v>511000</v>
      </c>
      <c r="H950" s="20" t="s">
        <v>802</v>
      </c>
      <c r="I950" s="434">
        <f>I951</f>
        <v>200000</v>
      </c>
      <c r="J950" s="434">
        <f>J951</f>
        <v>200000</v>
      </c>
      <c r="K950" s="434">
        <f>K951</f>
        <v>0</v>
      </c>
      <c r="L950" s="517"/>
    </row>
    <row r="951" spans="1:12" ht="12.75">
      <c r="A951" s="86"/>
      <c r="B951" s="86"/>
      <c r="C951" s="214"/>
      <c r="D951" s="270"/>
      <c r="E951" s="87"/>
      <c r="F951" s="200" t="s">
        <v>1469</v>
      </c>
      <c r="G951" s="524">
        <v>511300</v>
      </c>
      <c r="H951" s="4" t="s">
        <v>888</v>
      </c>
      <c r="I951" s="435">
        <v>200000</v>
      </c>
      <c r="J951" s="435">
        <v>200000</v>
      </c>
      <c r="K951" s="435">
        <v>0</v>
      </c>
      <c r="L951" s="517"/>
    </row>
    <row r="952" spans="1:12" ht="12.75">
      <c r="A952" s="82"/>
      <c r="B952" s="82"/>
      <c r="C952" s="214"/>
      <c r="D952" s="270"/>
      <c r="E952" s="83"/>
      <c r="F952" s="200"/>
      <c r="G952" s="524"/>
      <c r="H952" s="4" t="s">
        <v>335</v>
      </c>
      <c r="I952" s="435">
        <v>200000</v>
      </c>
      <c r="J952" s="435">
        <v>200000</v>
      </c>
      <c r="K952" s="435">
        <v>0</v>
      </c>
      <c r="L952" s="517"/>
    </row>
    <row r="953" spans="1:12" ht="12.75">
      <c r="A953" s="82"/>
      <c r="B953" s="82"/>
      <c r="C953" s="214"/>
      <c r="D953" s="270"/>
      <c r="E953" s="83"/>
      <c r="F953" s="200"/>
      <c r="G953" s="524"/>
      <c r="H953" s="4"/>
      <c r="I953" s="435"/>
      <c r="J953" s="435"/>
      <c r="K953" s="435"/>
      <c r="L953" s="517"/>
    </row>
    <row r="954" spans="1:12" s="36" customFormat="1" ht="12.75">
      <c r="A954" s="474"/>
      <c r="B954" s="474"/>
      <c r="C954" s="475"/>
      <c r="D954" s="476"/>
      <c r="E954" s="477"/>
      <c r="F954" s="478"/>
      <c r="G954" s="540"/>
      <c r="H954" s="484" t="s">
        <v>635</v>
      </c>
      <c r="I954" s="481">
        <f>I943+I946+I950</f>
        <v>18300000</v>
      </c>
      <c r="J954" s="481">
        <f>J943+J946+J950</f>
        <v>18300000</v>
      </c>
      <c r="K954" s="603">
        <f>K943+K946+K950</f>
        <v>0</v>
      </c>
      <c r="L954" s="517"/>
    </row>
    <row r="955" spans="1:12" ht="12.75">
      <c r="A955" s="82"/>
      <c r="B955" s="82"/>
      <c r="C955" s="214"/>
      <c r="D955" s="270"/>
      <c r="E955" s="83"/>
      <c r="F955" s="200"/>
      <c r="G955" s="524"/>
      <c r="H955" s="4"/>
      <c r="I955" s="435"/>
      <c r="J955" s="435"/>
      <c r="K955" s="435"/>
      <c r="L955" s="517"/>
    </row>
    <row r="956" spans="1:12" s="22" customFormat="1" ht="18" customHeight="1">
      <c r="A956" s="88"/>
      <c r="B956" s="88"/>
      <c r="C956" s="214"/>
      <c r="D956" s="274" t="s">
        <v>670</v>
      </c>
      <c r="E956" s="89"/>
      <c r="F956" s="200"/>
      <c r="G956" s="527"/>
      <c r="H956" s="125" t="s">
        <v>671</v>
      </c>
      <c r="I956" s="432"/>
      <c r="J956" s="432"/>
      <c r="K956" s="432"/>
      <c r="L956" s="517"/>
    </row>
    <row r="957" spans="1:12" s="22" customFormat="1" ht="15" customHeight="1">
      <c r="A957" s="88"/>
      <c r="B957" s="88"/>
      <c r="C957" s="214"/>
      <c r="D957" s="270"/>
      <c r="E957" s="89">
        <v>421</v>
      </c>
      <c r="F957" s="200"/>
      <c r="G957" s="534"/>
      <c r="H957" s="91" t="s">
        <v>251</v>
      </c>
      <c r="I957" s="449"/>
      <c r="J957" s="449"/>
      <c r="K957" s="449"/>
      <c r="L957" s="517"/>
    </row>
    <row r="958" spans="1:12" s="22" customFormat="1" ht="15" customHeight="1">
      <c r="A958" s="88"/>
      <c r="B958" s="88"/>
      <c r="C958" s="214"/>
      <c r="D958" s="270"/>
      <c r="E958" s="89"/>
      <c r="F958" s="200" t="s">
        <v>1470</v>
      </c>
      <c r="G958" s="535" t="s">
        <v>619</v>
      </c>
      <c r="H958" s="242" t="s">
        <v>634</v>
      </c>
      <c r="I958" s="462">
        <f>I959</f>
        <v>5000000</v>
      </c>
      <c r="J958" s="462">
        <f>J959</f>
        <v>5000000</v>
      </c>
      <c r="K958" s="462">
        <f>K959</f>
        <v>0</v>
      </c>
      <c r="L958" s="517"/>
    </row>
    <row r="959" spans="1:12" s="22" customFormat="1" ht="15" customHeight="1">
      <c r="A959" s="88"/>
      <c r="B959" s="88"/>
      <c r="C959" s="214"/>
      <c r="D959" s="270"/>
      <c r="E959" s="89"/>
      <c r="F959" s="200" t="s">
        <v>1471</v>
      </c>
      <c r="G959" s="536" t="s">
        <v>293</v>
      </c>
      <c r="H959" s="76" t="s">
        <v>1619</v>
      </c>
      <c r="I959" s="455">
        <v>5000000</v>
      </c>
      <c r="J959" s="455">
        <v>5000000</v>
      </c>
      <c r="K959" s="455">
        <v>0</v>
      </c>
      <c r="L959" s="517"/>
    </row>
    <row r="960" spans="1:12" s="36" customFormat="1" ht="12.75">
      <c r="A960" s="82"/>
      <c r="B960" s="82"/>
      <c r="C960" s="214"/>
      <c r="D960" s="270"/>
      <c r="E960" s="83"/>
      <c r="F960" s="200"/>
      <c r="G960" s="524"/>
      <c r="H960" s="290"/>
      <c r="I960" s="435"/>
      <c r="J960" s="435"/>
      <c r="K960" s="435"/>
      <c r="L960" s="517"/>
    </row>
    <row r="961" spans="1:12" s="36" customFormat="1" ht="12.75">
      <c r="A961" s="82"/>
      <c r="B961" s="82"/>
      <c r="C961" s="214"/>
      <c r="D961" s="270"/>
      <c r="E961" s="83"/>
      <c r="F961" s="200"/>
      <c r="G961" s="524"/>
      <c r="H961" s="292" t="s">
        <v>672</v>
      </c>
      <c r="I961" s="436">
        <f>I958</f>
        <v>5000000</v>
      </c>
      <c r="J961" s="436">
        <f>J958</f>
        <v>5000000</v>
      </c>
      <c r="K961" s="603">
        <f>K958</f>
        <v>0</v>
      </c>
      <c r="L961" s="517"/>
    </row>
    <row r="962" spans="1:12" s="36" customFormat="1" ht="12.75">
      <c r="A962" s="86"/>
      <c r="B962" s="86"/>
      <c r="C962" s="214"/>
      <c r="D962" s="270"/>
      <c r="E962" s="87"/>
      <c r="F962" s="200"/>
      <c r="G962" s="35"/>
      <c r="H962" s="7"/>
      <c r="I962" s="435"/>
      <c r="J962" s="435"/>
      <c r="K962" s="435"/>
      <c r="L962" s="517"/>
    </row>
    <row r="963" spans="1:12" s="36" customFormat="1" ht="12.75">
      <c r="A963" s="474"/>
      <c r="B963" s="474"/>
      <c r="C963" s="475"/>
      <c r="D963" s="476"/>
      <c r="E963" s="477"/>
      <c r="F963" s="478"/>
      <c r="G963" s="483"/>
      <c r="H963" s="484" t="s">
        <v>19</v>
      </c>
      <c r="I963" s="481">
        <f>I954+I961</f>
        <v>23300000</v>
      </c>
      <c r="J963" s="481">
        <f>J954+J961</f>
        <v>23300000</v>
      </c>
      <c r="K963" s="603">
        <f>K961+K954</f>
        <v>0</v>
      </c>
      <c r="L963" s="517"/>
    </row>
    <row r="964" spans="1:12" s="36" customFormat="1" ht="13.5" thickBot="1">
      <c r="A964" s="294"/>
      <c r="B964" s="294"/>
      <c r="C964" s="295"/>
      <c r="D964" s="296"/>
      <c r="E964" s="297"/>
      <c r="F964" s="298"/>
      <c r="G964" s="299"/>
      <c r="H964" s="304"/>
      <c r="I964" s="440"/>
      <c r="J964" s="440"/>
      <c r="K964" s="440"/>
      <c r="L964" s="517"/>
    </row>
    <row r="965" spans="1:12" s="36" customFormat="1" ht="13.5" customHeight="1" thickBot="1" thickTop="1">
      <c r="A965" s="294"/>
      <c r="B965" s="294"/>
      <c r="C965" s="295"/>
      <c r="D965" s="296"/>
      <c r="E965" s="297"/>
      <c r="F965" s="298"/>
      <c r="G965" s="299"/>
      <c r="H965" s="304"/>
      <c r="I965" s="440"/>
      <c r="J965" s="440"/>
      <c r="K965" s="440"/>
      <c r="L965" s="517"/>
    </row>
    <row r="966" spans="1:12" s="22" customFormat="1" ht="13.5" customHeight="1" thickBot="1" thickTop="1">
      <c r="A966" s="104"/>
      <c r="B966" s="104">
        <v>26</v>
      </c>
      <c r="C966" s="213" t="s">
        <v>188</v>
      </c>
      <c r="D966" s="267"/>
      <c r="E966" s="105"/>
      <c r="F966" s="198"/>
      <c r="G966" s="525"/>
      <c r="H966" s="106" t="s">
        <v>218</v>
      </c>
      <c r="I966" s="463"/>
      <c r="J966" s="463"/>
      <c r="K966" s="463"/>
      <c r="L966" s="517"/>
    </row>
    <row r="967" spans="1:12" s="22" customFormat="1" ht="13.5" customHeight="1" thickTop="1">
      <c r="A967" s="283"/>
      <c r="B967" s="283"/>
      <c r="C967" s="284"/>
      <c r="D967" s="285" t="s">
        <v>674</v>
      </c>
      <c r="E967" s="286"/>
      <c r="F967" s="301"/>
      <c r="G967" s="526"/>
      <c r="H967" s="288" t="s">
        <v>662</v>
      </c>
      <c r="I967" s="431"/>
      <c r="J967" s="431"/>
      <c r="K967" s="431"/>
      <c r="L967" s="517"/>
    </row>
    <row r="968" spans="1:12" s="55" customFormat="1" ht="13.5" customHeight="1">
      <c r="A968" s="88"/>
      <c r="B968" s="88"/>
      <c r="C968" s="214"/>
      <c r="D968" s="274" t="s">
        <v>728</v>
      </c>
      <c r="E968" s="89"/>
      <c r="F968" s="200"/>
      <c r="G968" s="527"/>
      <c r="H968" s="125" t="s">
        <v>729</v>
      </c>
      <c r="I968" s="432"/>
      <c r="J968" s="432"/>
      <c r="K968" s="432"/>
      <c r="L968" s="517"/>
    </row>
    <row r="969" spans="1:12" s="22" customFormat="1" ht="13.5" customHeight="1">
      <c r="A969" s="88"/>
      <c r="B969" s="88"/>
      <c r="C969" s="214"/>
      <c r="D969" s="270"/>
      <c r="E969" s="89">
        <v>490</v>
      </c>
      <c r="F969" s="200"/>
      <c r="G969" s="534"/>
      <c r="H969" s="91" t="s">
        <v>253</v>
      </c>
      <c r="I969" s="449"/>
      <c r="J969" s="449"/>
      <c r="K969" s="449"/>
      <c r="L969" s="517"/>
    </row>
    <row r="970" spans="1:12" s="22" customFormat="1" ht="13.5" customHeight="1">
      <c r="A970" s="88"/>
      <c r="B970" s="88"/>
      <c r="C970" s="214"/>
      <c r="D970" s="270"/>
      <c r="E970" s="89"/>
      <c r="F970" s="200" t="s">
        <v>1474</v>
      </c>
      <c r="G970" s="248">
        <v>454000</v>
      </c>
      <c r="H970" s="249" t="s">
        <v>834</v>
      </c>
      <c r="I970" s="438">
        <f>I971</f>
        <v>5472400</v>
      </c>
      <c r="J970" s="438">
        <f>J971</f>
        <v>5472400</v>
      </c>
      <c r="K970" s="438">
        <f>K971</f>
        <v>2749954.38</v>
      </c>
      <c r="L970" s="517"/>
    </row>
    <row r="971" spans="1:12" ht="13.5" customHeight="1">
      <c r="A971" s="86"/>
      <c r="B971" s="86"/>
      <c r="C971" s="214"/>
      <c r="D971" s="270"/>
      <c r="E971" s="87"/>
      <c r="F971" s="200" t="s">
        <v>1475</v>
      </c>
      <c r="G971" s="48">
        <v>454100</v>
      </c>
      <c r="H971" s="250" t="s">
        <v>219</v>
      </c>
      <c r="I971" s="437">
        <v>5472400</v>
      </c>
      <c r="J971" s="437">
        <v>5472400</v>
      </c>
      <c r="K971" s="437">
        <v>2749954.38</v>
      </c>
      <c r="L971" s="517"/>
    </row>
    <row r="972" spans="1:12" s="36" customFormat="1" ht="13.5" customHeight="1">
      <c r="A972" s="82"/>
      <c r="B972" s="82"/>
      <c r="C972" s="214"/>
      <c r="D972" s="270"/>
      <c r="E972" s="83"/>
      <c r="F972" s="200"/>
      <c r="G972" s="524"/>
      <c r="H972" s="290"/>
      <c r="I972" s="435"/>
      <c r="J972" s="435"/>
      <c r="K972" s="435"/>
      <c r="L972" s="517"/>
    </row>
    <row r="973" spans="1:12" s="36" customFormat="1" ht="13.5" customHeight="1">
      <c r="A973" s="82"/>
      <c r="B973" s="82"/>
      <c r="C973" s="214"/>
      <c r="D973" s="270"/>
      <c r="E973" s="83"/>
      <c r="F973" s="200"/>
      <c r="G973" s="524"/>
      <c r="H973" s="292" t="s">
        <v>500</v>
      </c>
      <c r="I973" s="436">
        <f>I970</f>
        <v>5472400</v>
      </c>
      <c r="J973" s="436">
        <f>J970</f>
        <v>5472400</v>
      </c>
      <c r="K973" s="436">
        <f>K970</f>
        <v>2749954.38</v>
      </c>
      <c r="L973" s="517"/>
    </row>
    <row r="974" spans="1:12" s="36" customFormat="1" ht="13.5" customHeight="1">
      <c r="A974" s="82"/>
      <c r="B974" s="82"/>
      <c r="C974" s="214"/>
      <c r="D974" s="270"/>
      <c r="E974" s="83"/>
      <c r="F974" s="200"/>
      <c r="G974" s="48"/>
      <c r="H974" s="291"/>
      <c r="I974" s="435"/>
      <c r="J974" s="435"/>
      <c r="K974" s="435"/>
      <c r="L974" s="517"/>
    </row>
    <row r="975" spans="1:12" s="36" customFormat="1" ht="13.5" customHeight="1">
      <c r="A975" s="474"/>
      <c r="B975" s="474"/>
      <c r="C975" s="475"/>
      <c r="D975" s="476"/>
      <c r="E975" s="477"/>
      <c r="F975" s="478"/>
      <c r="G975" s="483"/>
      <c r="H975" s="484" t="s">
        <v>21</v>
      </c>
      <c r="I975" s="481">
        <f>I973</f>
        <v>5472400</v>
      </c>
      <c r="J975" s="481">
        <f>J973</f>
        <v>5472400</v>
      </c>
      <c r="K975" s="603">
        <f>K973</f>
        <v>2749954.38</v>
      </c>
      <c r="L975" s="517"/>
    </row>
    <row r="976" spans="1:12" s="36" customFormat="1" ht="13.5" customHeight="1" thickBot="1">
      <c r="A976" s="294"/>
      <c r="B976" s="294"/>
      <c r="C976" s="295"/>
      <c r="D976" s="296"/>
      <c r="E976" s="297"/>
      <c r="F976" s="298"/>
      <c r="G976" s="299"/>
      <c r="H976" s="304"/>
      <c r="I976" s="440"/>
      <c r="J976" s="440"/>
      <c r="K976" s="440"/>
      <c r="L976" s="517"/>
    </row>
    <row r="977" spans="1:12" s="36" customFormat="1" ht="13.5" thickTop="1">
      <c r="A977" s="82"/>
      <c r="B977" s="82"/>
      <c r="C977" s="214"/>
      <c r="D977" s="270"/>
      <c r="E977" s="83"/>
      <c r="F977" s="200"/>
      <c r="G977" s="35"/>
      <c r="H977" s="7"/>
      <c r="I977" s="435"/>
      <c r="J977" s="435"/>
      <c r="K977" s="435"/>
      <c r="L977" s="517"/>
    </row>
    <row r="978" spans="1:12" ht="13.5" thickBot="1">
      <c r="A978" s="307"/>
      <c r="B978" s="307"/>
      <c r="C978" s="295"/>
      <c r="D978" s="296"/>
      <c r="E978" s="308"/>
      <c r="F978" s="298"/>
      <c r="G978" s="541"/>
      <c r="H978" s="318"/>
      <c r="I978" s="440"/>
      <c r="J978" s="440"/>
      <c r="K978" s="440"/>
      <c r="L978" s="517"/>
    </row>
    <row r="979" spans="1:12" s="28" customFormat="1" ht="31.5" customHeight="1" thickBot="1" thickTop="1">
      <c r="A979" s="153"/>
      <c r="B979" s="153">
        <v>30</v>
      </c>
      <c r="C979" s="223" t="s">
        <v>180</v>
      </c>
      <c r="D979" s="278"/>
      <c r="E979" s="154"/>
      <c r="F979" s="205"/>
      <c r="G979" s="542"/>
      <c r="H979" s="129" t="s">
        <v>220</v>
      </c>
      <c r="I979" s="457"/>
      <c r="J979" s="457"/>
      <c r="K979" s="457"/>
      <c r="L979" s="517"/>
    </row>
    <row r="980" spans="1:12" s="22" customFormat="1" ht="39" customHeight="1" thickTop="1">
      <c r="A980" s="283"/>
      <c r="B980" s="283"/>
      <c r="C980" s="284"/>
      <c r="D980" s="285" t="s">
        <v>681</v>
      </c>
      <c r="E980" s="286"/>
      <c r="F980" s="301"/>
      <c r="G980" s="526"/>
      <c r="H980" s="288" t="s">
        <v>679</v>
      </c>
      <c r="I980" s="431"/>
      <c r="J980" s="431"/>
      <c r="K980" s="431"/>
      <c r="L980" s="517"/>
    </row>
    <row r="981" spans="1:12" s="22" customFormat="1" ht="38.25" customHeight="1">
      <c r="A981" s="88"/>
      <c r="B981" s="88"/>
      <c r="C981" s="214"/>
      <c r="D981" s="274" t="s">
        <v>682</v>
      </c>
      <c r="E981" s="89"/>
      <c r="F981" s="200"/>
      <c r="G981" s="527"/>
      <c r="H981" s="125" t="s">
        <v>680</v>
      </c>
      <c r="I981" s="432"/>
      <c r="J981" s="432"/>
      <c r="K981" s="432"/>
      <c r="L981" s="517"/>
    </row>
    <row r="982" spans="1:12" s="22" customFormat="1" ht="13.5">
      <c r="A982" s="88"/>
      <c r="B982" s="88"/>
      <c r="C982" s="214"/>
      <c r="D982" s="270"/>
      <c r="E982" s="89">
        <v>560</v>
      </c>
      <c r="F982" s="200"/>
      <c r="G982" s="534"/>
      <c r="H982" s="91" t="s">
        <v>828</v>
      </c>
      <c r="I982" s="449"/>
      <c r="J982" s="449"/>
      <c r="K982" s="449"/>
      <c r="L982" s="517"/>
    </row>
    <row r="983" spans="1:12" s="9" customFormat="1" ht="13.5">
      <c r="A983" s="252"/>
      <c r="B983" s="252"/>
      <c r="C983" s="251"/>
      <c r="D983" s="277"/>
      <c r="E983" s="253"/>
      <c r="F983" s="254" t="s">
        <v>1483</v>
      </c>
      <c r="G983" s="54">
        <v>424000</v>
      </c>
      <c r="H983" s="20" t="s">
        <v>800</v>
      </c>
      <c r="I983" s="434">
        <f>I984</f>
        <v>7000000</v>
      </c>
      <c r="J983" s="434">
        <f>J984</f>
        <v>7000000</v>
      </c>
      <c r="K983" s="434">
        <f>K984</f>
        <v>0</v>
      </c>
      <c r="L983" s="517"/>
    </row>
    <row r="984" spans="1:13" ht="25.5">
      <c r="A984" s="86"/>
      <c r="B984" s="86"/>
      <c r="C984" s="214"/>
      <c r="D984" s="270"/>
      <c r="E984" s="87"/>
      <c r="F984" s="200" t="s">
        <v>1484</v>
      </c>
      <c r="G984" s="524">
        <v>424600</v>
      </c>
      <c r="H984" s="4" t="s">
        <v>908</v>
      </c>
      <c r="I984" s="435">
        <v>7000000</v>
      </c>
      <c r="J984" s="435">
        <v>7000000</v>
      </c>
      <c r="K984" s="435">
        <v>0</v>
      </c>
      <c r="L984" s="517"/>
      <c r="M984" t="s">
        <v>862</v>
      </c>
    </row>
    <row r="985" spans="1:12" s="22" customFormat="1" ht="13.5">
      <c r="A985" s="88"/>
      <c r="B985" s="88"/>
      <c r="C985" s="214"/>
      <c r="D985" s="270"/>
      <c r="E985" s="89"/>
      <c r="F985" s="200"/>
      <c r="G985" s="528">
        <v>512000</v>
      </c>
      <c r="H985" s="25" t="s">
        <v>796</v>
      </c>
      <c r="I985" s="434">
        <v>0</v>
      </c>
      <c r="J985" s="434">
        <v>0</v>
      </c>
      <c r="K985" s="434">
        <v>0</v>
      </c>
      <c r="L985" s="517"/>
    </row>
    <row r="986" spans="1:12" s="8" customFormat="1" ht="12.75">
      <c r="A986" s="86"/>
      <c r="B986" s="86"/>
      <c r="C986" s="214"/>
      <c r="D986" s="270"/>
      <c r="E986" s="87"/>
      <c r="F986" s="200"/>
      <c r="G986" s="35">
        <v>512400</v>
      </c>
      <c r="H986" s="7" t="s">
        <v>890</v>
      </c>
      <c r="I986" s="435"/>
      <c r="J986" s="435"/>
      <c r="K986" s="435"/>
      <c r="L986" s="517"/>
    </row>
    <row r="987" spans="1:12" s="36" customFormat="1" ht="12.75">
      <c r="A987" s="82"/>
      <c r="B987" s="82"/>
      <c r="C987" s="214"/>
      <c r="D987" s="270"/>
      <c r="E987" s="83"/>
      <c r="F987" s="200"/>
      <c r="G987" s="524"/>
      <c r="H987" s="290"/>
      <c r="I987" s="435"/>
      <c r="J987" s="435"/>
      <c r="K987" s="435"/>
      <c r="L987" s="517"/>
    </row>
    <row r="988" spans="1:12" s="36" customFormat="1" ht="12.75">
      <c r="A988" s="82"/>
      <c r="B988" s="82"/>
      <c r="C988" s="214"/>
      <c r="D988" s="270"/>
      <c r="E988" s="83"/>
      <c r="F988" s="200"/>
      <c r="G988" s="524"/>
      <c r="H988" s="292" t="s">
        <v>683</v>
      </c>
      <c r="I988" s="436">
        <f>I983</f>
        <v>7000000</v>
      </c>
      <c r="J988" s="436">
        <f>J983</f>
        <v>7000000</v>
      </c>
      <c r="K988" s="436">
        <f>K983</f>
        <v>0</v>
      </c>
      <c r="L988" s="517"/>
    </row>
    <row r="989" spans="1:12" s="36" customFormat="1" ht="12.75">
      <c r="A989" s="82"/>
      <c r="B989" s="82"/>
      <c r="C989" s="214"/>
      <c r="D989" s="270"/>
      <c r="E989" s="83"/>
      <c r="F989" s="200"/>
      <c r="G989" s="35"/>
      <c r="H989" s="292"/>
      <c r="I989" s="435"/>
      <c r="J989" s="435"/>
      <c r="K989" s="435"/>
      <c r="L989" s="517"/>
    </row>
    <row r="990" spans="1:12" s="36" customFormat="1" ht="25.5">
      <c r="A990" s="82"/>
      <c r="B990" s="474"/>
      <c r="C990" s="475"/>
      <c r="D990" s="476"/>
      <c r="E990" s="477"/>
      <c r="F990" s="478"/>
      <c r="G990" s="483"/>
      <c r="H990" s="484" t="s">
        <v>26</v>
      </c>
      <c r="I990" s="481">
        <f>I988</f>
        <v>7000000</v>
      </c>
      <c r="J990" s="481">
        <f>J988</f>
        <v>7000000</v>
      </c>
      <c r="K990" s="603">
        <f>K988</f>
        <v>0</v>
      </c>
      <c r="L990" s="517"/>
    </row>
    <row r="991" spans="1:12" s="36" customFormat="1" ht="13.5" thickBot="1">
      <c r="A991" s="294"/>
      <c r="B991" s="294"/>
      <c r="C991" s="295"/>
      <c r="D991" s="296"/>
      <c r="E991" s="297"/>
      <c r="F991" s="298"/>
      <c r="G991" s="299"/>
      <c r="H991" s="304"/>
      <c r="I991" s="440"/>
      <c r="J991" s="440"/>
      <c r="K991" s="440"/>
      <c r="L991" s="517"/>
    </row>
    <row r="992" spans="1:12" s="36" customFormat="1" ht="21.75" customHeight="1" thickBot="1" thickTop="1">
      <c r="A992" s="142"/>
      <c r="B992" s="143">
        <v>31</v>
      </c>
      <c r="C992" s="210" t="s">
        <v>189</v>
      </c>
      <c r="D992" s="267"/>
      <c r="E992" s="144"/>
      <c r="F992" s="198"/>
      <c r="G992" s="145"/>
      <c r="H992" s="146" t="s">
        <v>583</v>
      </c>
      <c r="I992" s="511"/>
      <c r="J992" s="511"/>
      <c r="K992" s="147"/>
      <c r="L992" s="517"/>
    </row>
    <row r="993" spans="1:12" s="22" customFormat="1" ht="30" customHeight="1" thickTop="1">
      <c r="A993" s="283"/>
      <c r="B993" s="283"/>
      <c r="C993" s="284"/>
      <c r="D993" s="285" t="s">
        <v>562</v>
      </c>
      <c r="E993" s="286"/>
      <c r="F993" s="301"/>
      <c r="G993" s="526"/>
      <c r="H993" s="288" t="s">
        <v>584</v>
      </c>
      <c r="I993" s="431"/>
      <c r="J993" s="431"/>
      <c r="K993" s="289"/>
      <c r="L993" s="517"/>
    </row>
    <row r="994" spans="1:12" s="22" customFormat="1" ht="18" customHeight="1">
      <c r="A994" s="88"/>
      <c r="B994" s="88"/>
      <c r="C994" s="214"/>
      <c r="D994" s="274" t="s">
        <v>757</v>
      </c>
      <c r="E994" s="89"/>
      <c r="F994" s="200"/>
      <c r="G994" s="527"/>
      <c r="H994" s="125" t="s">
        <v>758</v>
      </c>
      <c r="I994" s="432"/>
      <c r="J994" s="432"/>
      <c r="K994" s="39"/>
      <c r="L994" s="517"/>
    </row>
    <row r="995" spans="1:12" s="22" customFormat="1" ht="28.5" customHeight="1">
      <c r="A995" s="88"/>
      <c r="B995" s="88"/>
      <c r="C995" s="214"/>
      <c r="D995" s="270"/>
      <c r="E995" s="89" t="s">
        <v>873</v>
      </c>
      <c r="F995" s="200"/>
      <c r="G995" s="534"/>
      <c r="H995" s="255" t="s">
        <v>249</v>
      </c>
      <c r="I995" s="449"/>
      <c r="J995" s="449"/>
      <c r="K995" s="90"/>
      <c r="L995" s="517"/>
    </row>
    <row r="996" spans="1:12" s="36" customFormat="1" ht="12.75">
      <c r="A996" s="82"/>
      <c r="B996" s="139"/>
      <c r="C996" s="219"/>
      <c r="D996" s="270"/>
      <c r="E996" s="83"/>
      <c r="F996" s="200" t="s">
        <v>1485</v>
      </c>
      <c r="G996" s="74" t="s">
        <v>368</v>
      </c>
      <c r="H996" s="247" t="s">
        <v>224</v>
      </c>
      <c r="I996" s="436">
        <f>I997</f>
        <v>13000000</v>
      </c>
      <c r="J996" s="436">
        <f>J997</f>
        <v>13000000</v>
      </c>
      <c r="K996" s="436">
        <f>K997</f>
        <v>6251087.2</v>
      </c>
      <c r="L996" s="517"/>
    </row>
    <row r="997" spans="1:12" s="36" customFormat="1" ht="12.75">
      <c r="A997" s="82"/>
      <c r="B997" s="139"/>
      <c r="C997" s="219"/>
      <c r="D997" s="270"/>
      <c r="E997" s="83"/>
      <c r="F997" s="200" t="s">
        <v>1486</v>
      </c>
      <c r="G997" s="35" t="s">
        <v>585</v>
      </c>
      <c r="H997" s="319" t="s">
        <v>225</v>
      </c>
      <c r="I997" s="435">
        <v>13000000</v>
      </c>
      <c r="J997" s="435">
        <v>13000000</v>
      </c>
      <c r="K997" s="435">
        <v>6251087.2</v>
      </c>
      <c r="L997" s="517"/>
    </row>
    <row r="998" spans="1:12" s="36" customFormat="1" ht="12.75">
      <c r="A998" s="82"/>
      <c r="B998" s="139"/>
      <c r="C998" s="219"/>
      <c r="D998" s="270"/>
      <c r="E998" s="83"/>
      <c r="F998" s="200"/>
      <c r="G998" s="35"/>
      <c r="H998" s="319"/>
      <c r="I998" s="435"/>
      <c r="J998" s="435"/>
      <c r="K998" s="435"/>
      <c r="L998" s="517"/>
    </row>
    <row r="999" spans="1:12" s="36" customFormat="1" ht="12.75">
      <c r="A999" s="82"/>
      <c r="B999" s="82"/>
      <c r="C999" s="214"/>
      <c r="D999" s="270"/>
      <c r="E999" s="83"/>
      <c r="F999" s="200"/>
      <c r="G999" s="524"/>
      <c r="H999" s="292" t="s">
        <v>586</v>
      </c>
      <c r="I999" s="436">
        <f>I996</f>
        <v>13000000</v>
      </c>
      <c r="J999" s="436">
        <f>J996</f>
        <v>13000000</v>
      </c>
      <c r="K999" s="436">
        <f>K996</f>
        <v>6251087.2</v>
      </c>
      <c r="L999" s="517"/>
    </row>
    <row r="1000" spans="1:12" s="36" customFormat="1" ht="12.75">
      <c r="A1000" s="86"/>
      <c r="B1000" s="86"/>
      <c r="C1000" s="214"/>
      <c r="D1000" s="270"/>
      <c r="E1000" s="87"/>
      <c r="F1000" s="200"/>
      <c r="G1000" s="35"/>
      <c r="H1000" s="7"/>
      <c r="I1000" s="435"/>
      <c r="J1000" s="435"/>
      <c r="K1000" s="32"/>
      <c r="L1000" s="517"/>
    </row>
    <row r="1001" spans="1:12" s="36" customFormat="1" ht="13.5">
      <c r="A1001" s="474"/>
      <c r="B1001" s="474"/>
      <c r="C1001" s="475"/>
      <c r="D1001" s="476"/>
      <c r="E1001" s="477"/>
      <c r="F1001" s="478"/>
      <c r="G1001" s="483"/>
      <c r="H1001" s="484" t="s">
        <v>27</v>
      </c>
      <c r="I1001" s="616">
        <f>I999</f>
        <v>13000000</v>
      </c>
      <c r="J1001" s="616">
        <f>J999</f>
        <v>13000000</v>
      </c>
      <c r="K1001" s="603">
        <f>K999</f>
        <v>6251087.2</v>
      </c>
      <c r="L1001" s="517"/>
    </row>
    <row r="1002" spans="1:12" s="36" customFormat="1" ht="13.5" thickBot="1">
      <c r="A1002" s="294"/>
      <c r="B1002" s="294"/>
      <c r="C1002" s="295"/>
      <c r="D1002" s="296"/>
      <c r="E1002" s="297"/>
      <c r="F1002" s="298"/>
      <c r="G1002" s="320"/>
      <c r="H1002" s="321"/>
      <c r="I1002" s="442"/>
      <c r="J1002" s="442"/>
      <c r="K1002" s="442"/>
      <c r="L1002" s="517"/>
    </row>
    <row r="1003" spans="1:12" s="151" customFormat="1" ht="48.75" customHeight="1" thickBot="1" thickTop="1">
      <c r="A1003" s="148"/>
      <c r="B1003" s="148">
        <v>32</v>
      </c>
      <c r="C1003" s="210" t="s">
        <v>189</v>
      </c>
      <c r="D1003" s="279"/>
      <c r="E1003" s="149"/>
      <c r="F1003" s="206"/>
      <c r="G1003" s="150"/>
      <c r="H1003" s="228" t="s">
        <v>587</v>
      </c>
      <c r="I1003" s="441"/>
      <c r="J1003" s="441"/>
      <c r="K1003" s="441"/>
      <c r="L1003" s="517"/>
    </row>
    <row r="1004" spans="1:12" s="22" customFormat="1" ht="41.25" customHeight="1" thickTop="1">
      <c r="A1004" s="283"/>
      <c r="B1004" s="283"/>
      <c r="C1004" s="322"/>
      <c r="D1004" s="285" t="s">
        <v>562</v>
      </c>
      <c r="E1004" s="286"/>
      <c r="F1004" s="301"/>
      <c r="G1004" s="526"/>
      <c r="H1004" s="288" t="s">
        <v>584</v>
      </c>
      <c r="I1004" s="431"/>
      <c r="J1004" s="431"/>
      <c r="K1004" s="431"/>
      <c r="L1004" s="517"/>
    </row>
    <row r="1005" spans="1:12" s="22" customFormat="1" ht="48" customHeight="1">
      <c r="A1005" s="88"/>
      <c r="B1005" s="88"/>
      <c r="C1005" s="221"/>
      <c r="D1005" s="274" t="s">
        <v>742</v>
      </c>
      <c r="E1005" s="89"/>
      <c r="F1005" s="200"/>
      <c r="G1005" s="527"/>
      <c r="H1005" s="125" t="s">
        <v>754</v>
      </c>
      <c r="I1005" s="432"/>
      <c r="J1005" s="432"/>
      <c r="K1005" s="432"/>
      <c r="L1005" s="517"/>
    </row>
    <row r="1006" spans="1:12" s="22" customFormat="1" ht="27.75" customHeight="1">
      <c r="A1006" s="88"/>
      <c r="B1006" s="88"/>
      <c r="C1006" s="221"/>
      <c r="D1006" s="270"/>
      <c r="E1006" s="89" t="s">
        <v>873</v>
      </c>
      <c r="F1006" s="200"/>
      <c r="G1006" s="534"/>
      <c r="H1006" s="255" t="s">
        <v>249</v>
      </c>
      <c r="I1006" s="449"/>
      <c r="J1006" s="449"/>
      <c r="K1006" s="449"/>
      <c r="L1006" s="517"/>
    </row>
    <row r="1007" spans="1:12" s="36" customFormat="1" ht="12.75">
      <c r="A1007" s="82"/>
      <c r="B1007" s="82"/>
      <c r="C1007" s="221"/>
      <c r="D1007" s="270"/>
      <c r="E1007" s="83"/>
      <c r="F1007" s="200" t="s">
        <v>1487</v>
      </c>
      <c r="G1007" s="74" t="s">
        <v>368</v>
      </c>
      <c r="H1007" s="247" t="s">
        <v>224</v>
      </c>
      <c r="I1007" s="436">
        <f>I1008</f>
        <v>4000000</v>
      </c>
      <c r="J1007" s="436">
        <f>J1008</f>
        <v>4000000</v>
      </c>
      <c r="K1007" s="436">
        <f>K1008</f>
        <v>1843136.64</v>
      </c>
      <c r="L1007" s="517"/>
    </row>
    <row r="1008" spans="1:12" s="36" customFormat="1" ht="12.75">
      <c r="A1008" s="82"/>
      <c r="B1008" s="82"/>
      <c r="C1008" s="221"/>
      <c r="D1008" s="270"/>
      <c r="E1008" s="83"/>
      <c r="F1008" s="200" t="s">
        <v>1488</v>
      </c>
      <c r="G1008" s="35" t="s">
        <v>585</v>
      </c>
      <c r="H1008" s="319" t="s">
        <v>225</v>
      </c>
      <c r="I1008" s="435">
        <v>4000000</v>
      </c>
      <c r="J1008" s="435">
        <v>4000000</v>
      </c>
      <c r="K1008" s="435">
        <v>1843136.64</v>
      </c>
      <c r="L1008" s="517"/>
    </row>
    <row r="1009" spans="1:12" s="36" customFormat="1" ht="12.75">
      <c r="A1009" s="82"/>
      <c r="B1009" s="82"/>
      <c r="C1009" s="221"/>
      <c r="D1009" s="270"/>
      <c r="E1009" s="83"/>
      <c r="F1009" s="200"/>
      <c r="G1009" s="524"/>
      <c r="H1009" s="290"/>
      <c r="I1009" s="435"/>
      <c r="J1009" s="435"/>
      <c r="K1009" s="435"/>
      <c r="L1009" s="517"/>
    </row>
    <row r="1010" spans="1:12" s="36" customFormat="1" ht="12.75">
      <c r="A1010" s="82"/>
      <c r="B1010" s="82"/>
      <c r="C1010" s="221"/>
      <c r="D1010" s="270"/>
      <c r="E1010" s="83"/>
      <c r="F1010" s="200"/>
      <c r="G1010" s="524"/>
      <c r="H1010" s="292" t="s">
        <v>588</v>
      </c>
      <c r="I1010" s="436">
        <f>I1007</f>
        <v>4000000</v>
      </c>
      <c r="J1010" s="436">
        <f>J1007</f>
        <v>4000000</v>
      </c>
      <c r="K1010" s="603">
        <f>K1007</f>
        <v>1843136.64</v>
      </c>
      <c r="L1010" s="517"/>
    </row>
    <row r="1011" spans="1:12" s="36" customFormat="1" ht="12.75">
      <c r="A1011" s="86"/>
      <c r="B1011" s="86"/>
      <c r="C1011" s="221"/>
      <c r="D1011" s="270"/>
      <c r="E1011" s="87"/>
      <c r="F1011" s="200"/>
      <c r="G1011" s="35"/>
      <c r="H1011" s="7"/>
      <c r="I1011" s="435"/>
      <c r="J1011" s="435"/>
      <c r="K1011" s="435"/>
      <c r="L1011" s="517"/>
    </row>
    <row r="1012" spans="1:12" s="36" customFormat="1" ht="12.75">
      <c r="A1012" s="82"/>
      <c r="B1012" s="82"/>
      <c r="C1012" s="221"/>
      <c r="D1012" s="270"/>
      <c r="E1012" s="83"/>
      <c r="F1012" s="200"/>
      <c r="G1012" s="35"/>
      <c r="H1012" s="292" t="s">
        <v>569</v>
      </c>
      <c r="I1012" s="436">
        <f>I1010</f>
        <v>4000000</v>
      </c>
      <c r="J1012" s="436">
        <f>J1010</f>
        <v>4000000</v>
      </c>
      <c r="K1012" s="436">
        <f>K1010</f>
        <v>1843136.64</v>
      </c>
      <c r="L1012" s="517"/>
    </row>
    <row r="1013" spans="1:12" s="36" customFormat="1" ht="12.75">
      <c r="A1013" s="82"/>
      <c r="B1013" s="82"/>
      <c r="C1013" s="221"/>
      <c r="D1013" s="270"/>
      <c r="E1013" s="83"/>
      <c r="F1013" s="200"/>
      <c r="G1013" s="35"/>
      <c r="H1013" s="292"/>
      <c r="I1013" s="435"/>
      <c r="J1013" s="435"/>
      <c r="K1013" s="435"/>
      <c r="L1013" s="517"/>
    </row>
    <row r="1014" spans="1:12" s="36" customFormat="1" ht="26.25" thickBot="1">
      <c r="A1014" s="474"/>
      <c r="B1014" s="474"/>
      <c r="C1014" s="485"/>
      <c r="D1014" s="476"/>
      <c r="E1014" s="477"/>
      <c r="F1014" s="478"/>
      <c r="G1014" s="483"/>
      <c r="H1014" s="484" t="s">
        <v>28</v>
      </c>
      <c r="I1014" s="616">
        <f>I1012</f>
        <v>4000000</v>
      </c>
      <c r="J1014" s="616">
        <f>J1012</f>
        <v>4000000</v>
      </c>
      <c r="K1014" s="674">
        <f>K1012</f>
        <v>1843136.64</v>
      </c>
      <c r="L1014" s="517"/>
    </row>
    <row r="1015" spans="1:12" s="36" customFormat="1" ht="26.25" customHeight="1" thickBot="1" thickTop="1">
      <c r="A1015" s="346"/>
      <c r="B1015" s="346"/>
      <c r="C1015" s="347"/>
      <c r="D1015" s="348"/>
      <c r="E1015" s="349"/>
      <c r="F1015" s="350"/>
      <c r="G1015" s="351"/>
      <c r="H1015" s="486" t="s">
        <v>589</v>
      </c>
      <c r="I1015" s="487">
        <f>I247+I258+I267+I276+I285+I308+I343+I351+I360+I368+I376+I385+I402+I480+I559+I656+I730+I778+I799+I910+I922+I936+I963+I975+I990+I1001+I1014</f>
        <v>1241119634</v>
      </c>
      <c r="J1015" s="487">
        <f>J247+J258+J267+J276+J285+J308+J343+J351+J360+J368+J376+J385+J402+J480+J559+J656+J730+J778+J799+J910+J922+J936+J963+J975+J990+J1001+J1014</f>
        <v>1235800427.08</v>
      </c>
      <c r="K1015" s="487">
        <f>K247+K258+K267+K276+K285+K308+K343+K351+K360+K368+K376+K385+K402+K480+K559+K656+K730+K778+K799+K910+K922+K936+K963+K975+K990+K1001+K1014</f>
        <v>471611198.26</v>
      </c>
      <c r="L1015" s="517"/>
    </row>
    <row r="1016" spans="1:13" s="36" customFormat="1" ht="35.25" customHeight="1" thickBot="1" thickTop="1">
      <c r="A1016" s="346"/>
      <c r="B1016" s="346"/>
      <c r="C1016" s="347"/>
      <c r="D1016" s="348"/>
      <c r="E1016" s="349"/>
      <c r="F1016" s="350"/>
      <c r="G1016" s="352"/>
      <c r="H1016" s="353" t="s">
        <v>688</v>
      </c>
      <c r="I1016" s="465">
        <f>I1015+I39+I103+I126+I150</f>
        <v>1542006634</v>
      </c>
      <c r="J1016" s="465">
        <f>J1015+J39+J103+J126+J150</f>
        <v>1542256634</v>
      </c>
      <c r="K1016" s="465">
        <f>K1015+K39+K103+K126+K150</f>
        <v>539969445.75</v>
      </c>
      <c r="L1016" s="517"/>
      <c r="M1016" s="521"/>
    </row>
    <row r="1017" spans="1:12" s="36" customFormat="1" ht="13.5" thickTop="1">
      <c r="A1017" s="280"/>
      <c r="B1017" s="280"/>
      <c r="C1017" s="220"/>
      <c r="D1017" s="273"/>
      <c r="E1017" s="217"/>
      <c r="F1017" s="199"/>
      <c r="G1017" s="345"/>
      <c r="H1017" s="152"/>
      <c r="I1017" s="466"/>
      <c r="J1017" s="466"/>
      <c r="K1017" s="466"/>
      <c r="L1017" s="517"/>
    </row>
    <row r="1018" spans="1:12" s="8" customFormat="1" ht="12.75">
      <c r="A1018" s="86"/>
      <c r="B1018" s="86"/>
      <c r="C1018" s="221"/>
      <c r="D1018" s="270"/>
      <c r="E1018" s="87"/>
      <c r="F1018" s="200"/>
      <c r="G1018" s="35"/>
      <c r="H1018" s="7"/>
      <c r="I1018" s="435"/>
      <c r="J1018" s="32"/>
      <c r="K1018" s="32"/>
      <c r="L1018" s="517"/>
    </row>
    <row r="1019" spans="1:12" s="22" customFormat="1" ht="12.75" customHeight="1">
      <c r="A1019" s="100"/>
      <c r="B1019" s="100"/>
      <c r="C1019" s="220"/>
      <c r="D1019" s="268" t="s">
        <v>544</v>
      </c>
      <c r="E1019" s="101"/>
      <c r="F1019" s="199"/>
      <c r="G1019" s="543"/>
      <c r="H1019" s="102" t="s">
        <v>542</v>
      </c>
      <c r="I1019" s="468"/>
      <c r="J1019" s="103"/>
      <c r="K1019" s="103"/>
      <c r="L1019" s="517"/>
    </row>
    <row r="1020" spans="1:12" s="22" customFormat="1" ht="17.25" customHeight="1">
      <c r="A1020" s="88"/>
      <c r="B1020" s="117"/>
      <c r="C1020" s="221"/>
      <c r="D1020" s="269" t="s">
        <v>545</v>
      </c>
      <c r="E1020" s="118"/>
      <c r="F1020" s="203"/>
      <c r="G1020" s="544"/>
      <c r="H1020" s="131" t="s">
        <v>543</v>
      </c>
      <c r="I1020" s="469"/>
      <c r="J1020" s="130"/>
      <c r="K1020" s="130"/>
      <c r="L1020" s="517"/>
    </row>
    <row r="1021" spans="1:12" s="22" customFormat="1" ht="13.5">
      <c r="A1021" s="120"/>
      <c r="B1021" s="120"/>
      <c r="C1021" s="207"/>
      <c r="D1021" s="209"/>
      <c r="E1021" s="121" t="s">
        <v>687</v>
      </c>
      <c r="F1021" s="207"/>
      <c r="G1021" s="545"/>
      <c r="H1021" s="122" t="s">
        <v>686</v>
      </c>
      <c r="I1021" s="470"/>
      <c r="J1021" s="116"/>
      <c r="K1021" s="116"/>
      <c r="L1021" s="517"/>
    </row>
    <row r="1022" spans="1:12" s="22" customFormat="1" ht="13.5">
      <c r="A1022" s="100"/>
      <c r="B1022" s="100"/>
      <c r="C1022" s="217"/>
      <c r="D1022" s="280"/>
      <c r="E1022" s="101"/>
      <c r="F1022" s="199" t="s">
        <v>1489</v>
      </c>
      <c r="G1022" s="546">
        <v>413000</v>
      </c>
      <c r="H1022" s="256" t="s">
        <v>824</v>
      </c>
      <c r="I1022" s="467">
        <f>I1023</f>
        <v>950000</v>
      </c>
      <c r="J1022" s="467">
        <f>J1023</f>
        <v>950000</v>
      </c>
      <c r="K1022" s="467">
        <f>K1023</f>
        <v>322665.33</v>
      </c>
      <c r="L1022" s="517"/>
    </row>
    <row r="1023" spans="1:12" ht="12.75">
      <c r="A1023" s="86"/>
      <c r="B1023" s="86"/>
      <c r="C1023" s="83"/>
      <c r="D1023" s="82"/>
      <c r="E1023" s="87"/>
      <c r="F1023" s="199" t="s">
        <v>1490</v>
      </c>
      <c r="G1023" s="536">
        <v>413100</v>
      </c>
      <c r="H1023" s="245" t="s">
        <v>824</v>
      </c>
      <c r="I1023" s="435">
        <v>950000</v>
      </c>
      <c r="J1023" s="435">
        <v>950000</v>
      </c>
      <c r="K1023" s="435">
        <v>322665.33</v>
      </c>
      <c r="L1023" s="517"/>
    </row>
    <row r="1024" spans="1:12" s="22" customFormat="1" ht="13.5">
      <c r="A1024" s="88"/>
      <c r="B1024" s="88"/>
      <c r="C1024" s="83"/>
      <c r="D1024" s="82"/>
      <c r="E1024" s="89"/>
      <c r="F1024" s="199" t="s">
        <v>1491</v>
      </c>
      <c r="G1024" s="535">
        <v>415000</v>
      </c>
      <c r="H1024" s="242" t="s">
        <v>852</v>
      </c>
      <c r="I1024" s="454">
        <f>I1025</f>
        <v>2300000</v>
      </c>
      <c r="J1024" s="454">
        <f>J1025</f>
        <v>2300000</v>
      </c>
      <c r="K1024" s="454">
        <f>K1025</f>
        <v>1052469.01</v>
      </c>
      <c r="L1024" s="517"/>
    </row>
    <row r="1025" spans="1:12" ht="12.75">
      <c r="A1025" s="86"/>
      <c r="B1025" s="86"/>
      <c r="C1025" s="83"/>
      <c r="D1025" s="82"/>
      <c r="E1025" s="87"/>
      <c r="F1025" s="199" t="s">
        <v>1495</v>
      </c>
      <c r="G1025" s="536">
        <v>415100</v>
      </c>
      <c r="H1025" s="245" t="s">
        <v>852</v>
      </c>
      <c r="I1025" s="455">
        <v>2300000</v>
      </c>
      <c r="J1025" s="455">
        <v>2300000</v>
      </c>
      <c r="K1025" s="455">
        <v>1052469.01</v>
      </c>
      <c r="L1025" s="517"/>
    </row>
    <row r="1026" spans="1:12" s="22" customFormat="1" ht="13.5">
      <c r="A1026" s="88"/>
      <c r="B1026" s="88"/>
      <c r="C1026" s="83"/>
      <c r="D1026" s="82"/>
      <c r="E1026" s="89"/>
      <c r="F1026" s="199" t="s">
        <v>1492</v>
      </c>
      <c r="G1026" s="54">
        <v>416000</v>
      </c>
      <c r="H1026" s="20" t="s">
        <v>853</v>
      </c>
      <c r="I1026" s="434">
        <f>I1027</f>
        <v>1040000</v>
      </c>
      <c r="J1026" s="434">
        <f>J1027</f>
        <v>1040000</v>
      </c>
      <c r="K1026" s="434">
        <f>K1027</f>
        <v>200118.75</v>
      </c>
      <c r="L1026" s="517"/>
    </row>
    <row r="1027" spans="1:12" ht="12.75">
      <c r="A1027" s="86"/>
      <c r="B1027" s="86"/>
      <c r="C1027" s="83"/>
      <c r="D1027" s="82"/>
      <c r="E1027" s="87"/>
      <c r="F1027" s="199" t="s">
        <v>1493</v>
      </c>
      <c r="G1027" s="35">
        <v>416100</v>
      </c>
      <c r="H1027" s="4" t="s">
        <v>853</v>
      </c>
      <c r="I1027" s="435">
        <v>1040000</v>
      </c>
      <c r="J1027" s="435">
        <v>1040000</v>
      </c>
      <c r="K1027" s="435">
        <v>200118.75</v>
      </c>
      <c r="L1027" s="517"/>
    </row>
    <row r="1028" spans="1:12" s="22" customFormat="1" ht="13.5">
      <c r="A1028" s="88"/>
      <c r="B1028" s="88"/>
      <c r="C1028" s="83"/>
      <c r="D1028" s="82"/>
      <c r="E1028" s="89"/>
      <c r="F1028" s="199" t="s">
        <v>1494</v>
      </c>
      <c r="G1028" s="54">
        <v>421000</v>
      </c>
      <c r="H1028" s="20" t="s">
        <v>799</v>
      </c>
      <c r="I1028" s="434">
        <f>I1029+I1030+I1031+I1032+I1033</f>
        <v>4150000</v>
      </c>
      <c r="J1028" s="434">
        <f>J1029+J1030+J1031+J1032+J1033</f>
        <v>4150000</v>
      </c>
      <c r="K1028" s="434">
        <f>K1029+K1030+K1031+K1032+K1033</f>
        <v>1481224.29</v>
      </c>
      <c r="L1028" s="517"/>
    </row>
    <row r="1029" spans="1:12" ht="12.75">
      <c r="A1029" s="86"/>
      <c r="B1029" s="86"/>
      <c r="C1029" s="83"/>
      <c r="D1029" s="82"/>
      <c r="E1029" s="87"/>
      <c r="F1029" s="199" t="s">
        <v>1496</v>
      </c>
      <c r="G1029" s="35">
        <v>421100</v>
      </c>
      <c r="H1029" s="4" t="s">
        <v>894</v>
      </c>
      <c r="I1029" s="435">
        <v>150000</v>
      </c>
      <c r="J1029" s="435">
        <v>150000</v>
      </c>
      <c r="K1029" s="435">
        <v>69968.55</v>
      </c>
      <c r="L1029" s="517"/>
    </row>
    <row r="1030" spans="1:12" ht="12.75">
      <c r="A1030" s="82"/>
      <c r="B1030" s="82"/>
      <c r="C1030" s="83"/>
      <c r="D1030" s="82"/>
      <c r="E1030" s="83"/>
      <c r="F1030" s="199" t="s">
        <v>1497</v>
      </c>
      <c r="G1030" s="35">
        <v>421200</v>
      </c>
      <c r="H1030" s="4" t="s">
        <v>920</v>
      </c>
      <c r="I1030" s="435">
        <v>3050000</v>
      </c>
      <c r="J1030" s="435">
        <v>3050000</v>
      </c>
      <c r="K1030" s="435">
        <v>1108016.01</v>
      </c>
      <c r="L1030" s="517"/>
    </row>
    <row r="1031" spans="1:12" ht="12.75">
      <c r="A1031" s="82"/>
      <c r="B1031" s="82"/>
      <c r="C1031" s="83"/>
      <c r="D1031" s="82"/>
      <c r="E1031" s="83"/>
      <c r="F1031" s="199" t="s">
        <v>1498</v>
      </c>
      <c r="G1031" s="524">
        <v>421300</v>
      </c>
      <c r="H1031" s="5" t="s">
        <v>896</v>
      </c>
      <c r="I1031" s="435">
        <v>660000</v>
      </c>
      <c r="J1031" s="435">
        <v>660000</v>
      </c>
      <c r="K1031" s="435">
        <v>215927.99</v>
      </c>
      <c r="L1031" s="517"/>
    </row>
    <row r="1032" spans="1:12" ht="12.75">
      <c r="A1032" s="82"/>
      <c r="B1032" s="82"/>
      <c r="C1032" s="83"/>
      <c r="D1032" s="82"/>
      <c r="E1032" s="83"/>
      <c r="F1032" s="199" t="s">
        <v>1499</v>
      </c>
      <c r="G1032" s="35">
        <v>421400</v>
      </c>
      <c r="H1032" s="5" t="s">
        <v>883</v>
      </c>
      <c r="I1032" s="435">
        <v>100000</v>
      </c>
      <c r="J1032" s="435">
        <v>100000</v>
      </c>
      <c r="K1032" s="435">
        <v>46160.01</v>
      </c>
      <c r="L1032" s="517"/>
    </row>
    <row r="1033" spans="1:12" ht="12.75">
      <c r="A1033" s="82"/>
      <c r="B1033" s="82"/>
      <c r="C1033" s="83"/>
      <c r="D1033" s="82"/>
      <c r="E1033" s="83"/>
      <c r="F1033" s="199" t="s">
        <v>1500</v>
      </c>
      <c r="G1033" s="35">
        <v>421500</v>
      </c>
      <c r="H1033" s="4" t="s">
        <v>897</v>
      </c>
      <c r="I1033" s="435">
        <v>190000</v>
      </c>
      <c r="J1033" s="435">
        <v>190000</v>
      </c>
      <c r="K1033" s="435">
        <v>41151.73</v>
      </c>
      <c r="L1033" s="517"/>
    </row>
    <row r="1034" spans="1:12" s="22" customFormat="1" ht="13.5">
      <c r="A1034" s="88"/>
      <c r="B1034" s="88"/>
      <c r="C1034" s="83"/>
      <c r="D1034" s="82"/>
      <c r="E1034" s="89"/>
      <c r="F1034" s="199" t="s">
        <v>1501</v>
      </c>
      <c r="G1034" s="54">
        <v>422000</v>
      </c>
      <c r="H1034" s="20" t="s">
        <v>793</v>
      </c>
      <c r="I1034" s="434">
        <f>I1035+I1036</f>
        <v>8660000</v>
      </c>
      <c r="J1034" s="434">
        <f>J1035+J1036</f>
        <v>8660000</v>
      </c>
      <c r="K1034" s="434">
        <f>K1035+K1036</f>
        <v>2784415.03</v>
      </c>
      <c r="L1034" s="517"/>
    </row>
    <row r="1035" spans="1:12" ht="12.75">
      <c r="A1035" s="86"/>
      <c r="B1035" s="86"/>
      <c r="C1035" s="83"/>
      <c r="D1035" s="82"/>
      <c r="E1035" s="87"/>
      <c r="F1035" s="199" t="s">
        <v>1502</v>
      </c>
      <c r="G1035" s="35">
        <v>422100</v>
      </c>
      <c r="H1035" s="4" t="s">
        <v>899</v>
      </c>
      <c r="I1035" s="435">
        <v>10000</v>
      </c>
      <c r="J1035" s="435">
        <v>10000</v>
      </c>
      <c r="K1035" s="435">
        <v>2340</v>
      </c>
      <c r="L1035" s="517"/>
    </row>
    <row r="1036" spans="1:13" ht="12.75">
      <c r="A1036" s="82"/>
      <c r="B1036" s="82"/>
      <c r="C1036" s="83"/>
      <c r="D1036" s="82"/>
      <c r="E1036" s="83"/>
      <c r="F1036" s="199" t="s">
        <v>1503</v>
      </c>
      <c r="G1036" s="35">
        <v>422400</v>
      </c>
      <c r="H1036" s="4" t="s">
        <v>921</v>
      </c>
      <c r="I1036" s="435">
        <v>8650000</v>
      </c>
      <c r="J1036" s="435">
        <v>8650000</v>
      </c>
      <c r="K1036" s="435">
        <v>2782075.03</v>
      </c>
      <c r="L1036" s="517"/>
      <c r="M1036" s="515"/>
    </row>
    <row r="1037" spans="1:12" s="22" customFormat="1" ht="13.5">
      <c r="A1037" s="88"/>
      <c r="B1037" s="88"/>
      <c r="C1037" s="83"/>
      <c r="D1037" s="82"/>
      <c r="E1037" s="89"/>
      <c r="F1037" s="199" t="s">
        <v>1504</v>
      </c>
      <c r="G1037" s="54">
        <v>423000</v>
      </c>
      <c r="H1037" s="20" t="s">
        <v>794</v>
      </c>
      <c r="I1037" s="434">
        <f>I1038</f>
        <v>150000</v>
      </c>
      <c r="J1037" s="434">
        <f>J1038</f>
        <v>150000</v>
      </c>
      <c r="K1037" s="434">
        <f>K1038</f>
        <v>128320</v>
      </c>
      <c r="L1037" s="517"/>
    </row>
    <row r="1038" spans="1:12" ht="12.75">
      <c r="A1038" s="86"/>
      <c r="B1038" s="86"/>
      <c r="C1038" s="83"/>
      <c r="D1038" s="82"/>
      <c r="E1038" s="87"/>
      <c r="F1038" s="199" t="s">
        <v>1505</v>
      </c>
      <c r="G1038" s="524">
        <v>423300</v>
      </c>
      <c r="H1038" s="5" t="s">
        <v>902</v>
      </c>
      <c r="I1038" s="435">
        <v>150000</v>
      </c>
      <c r="J1038" s="435">
        <v>150000</v>
      </c>
      <c r="K1038" s="435">
        <v>128320</v>
      </c>
      <c r="L1038" s="517"/>
    </row>
    <row r="1039" spans="1:12" ht="13.5">
      <c r="A1039" s="86"/>
      <c r="B1039" s="86"/>
      <c r="C1039" s="83"/>
      <c r="D1039" s="82"/>
      <c r="E1039" s="87"/>
      <c r="F1039" s="199" t="s">
        <v>1506</v>
      </c>
      <c r="G1039" s="529" t="s">
        <v>361</v>
      </c>
      <c r="H1039" s="20" t="s">
        <v>800</v>
      </c>
      <c r="I1039" s="436">
        <f>I1040</f>
        <v>30000</v>
      </c>
      <c r="J1039" s="436">
        <f>J1040</f>
        <v>30000</v>
      </c>
      <c r="K1039" s="436">
        <f>K1040</f>
        <v>14400</v>
      </c>
      <c r="L1039" s="517"/>
    </row>
    <row r="1040" spans="1:12" ht="12.75">
      <c r="A1040" s="86"/>
      <c r="B1040" s="86"/>
      <c r="C1040" s="83"/>
      <c r="D1040" s="82"/>
      <c r="E1040" s="87"/>
      <c r="F1040" s="199" t="s">
        <v>1507</v>
      </c>
      <c r="G1040" s="524" t="s">
        <v>615</v>
      </c>
      <c r="H1040" s="240" t="s">
        <v>590</v>
      </c>
      <c r="I1040" s="435">
        <v>30000</v>
      </c>
      <c r="J1040" s="435">
        <v>30000</v>
      </c>
      <c r="K1040" s="435">
        <v>14400</v>
      </c>
      <c r="L1040" s="517"/>
    </row>
    <row r="1041" spans="1:12" s="22" customFormat="1" ht="13.5">
      <c r="A1041" s="88"/>
      <c r="B1041" s="88"/>
      <c r="C1041" s="83"/>
      <c r="D1041" s="82"/>
      <c r="E1041" s="89"/>
      <c r="F1041" s="199" t="s">
        <v>1508</v>
      </c>
      <c r="G1041" s="528">
        <v>425000</v>
      </c>
      <c r="H1041" s="20" t="s">
        <v>797</v>
      </c>
      <c r="I1041" s="434">
        <f>I1042+I1043</f>
        <v>3540000</v>
      </c>
      <c r="J1041" s="434">
        <f>J1042+J1043</f>
        <v>3540000</v>
      </c>
      <c r="K1041" s="434">
        <f>K1042+K1043</f>
        <v>1802756.65</v>
      </c>
      <c r="L1041" s="517"/>
    </row>
    <row r="1042" spans="1:12" ht="12.75">
      <c r="A1042" s="86"/>
      <c r="B1042" s="86"/>
      <c r="C1042" s="83"/>
      <c r="D1042" s="82"/>
      <c r="E1042" s="87"/>
      <c r="F1042" s="199" t="s">
        <v>1509</v>
      </c>
      <c r="G1042" s="524">
        <v>425100</v>
      </c>
      <c r="H1042" s="4" t="s">
        <v>909</v>
      </c>
      <c r="I1042" s="435">
        <v>3000000</v>
      </c>
      <c r="J1042" s="435">
        <v>3000000</v>
      </c>
      <c r="K1042" s="435">
        <v>1288561.93</v>
      </c>
      <c r="L1042" s="517"/>
    </row>
    <row r="1043" spans="1:12" ht="12.75">
      <c r="A1043" s="82"/>
      <c r="B1043" s="82"/>
      <c r="C1043" s="83"/>
      <c r="D1043" s="82"/>
      <c r="E1043" s="83"/>
      <c r="F1043" s="199" t="s">
        <v>1510</v>
      </c>
      <c r="G1043" s="524">
        <v>425200</v>
      </c>
      <c r="H1043" s="4" t="s">
        <v>910</v>
      </c>
      <c r="I1043" s="435">
        <v>540000</v>
      </c>
      <c r="J1043" s="435">
        <v>540000</v>
      </c>
      <c r="K1043" s="435">
        <v>514194.72</v>
      </c>
      <c r="L1043" s="517"/>
    </row>
    <row r="1044" spans="1:12" s="22" customFormat="1" ht="13.5">
      <c r="A1044" s="88"/>
      <c r="B1044" s="88"/>
      <c r="C1044" s="83"/>
      <c r="D1044" s="82"/>
      <c r="E1044" s="89"/>
      <c r="F1044" s="199" t="s">
        <v>1511</v>
      </c>
      <c r="G1044" s="528">
        <v>426000</v>
      </c>
      <c r="H1044" s="20" t="s">
        <v>795</v>
      </c>
      <c r="I1044" s="434">
        <f>I1045+I1046+I1047+I1048+I1049</f>
        <v>530000</v>
      </c>
      <c r="J1044" s="434">
        <f>J1045+J1046+J1047+J1048+J1049</f>
        <v>530000</v>
      </c>
      <c r="K1044" s="434">
        <f>K1045+K1046+K1047+K1048+K1049</f>
        <v>174419.28000000003</v>
      </c>
      <c r="L1044" s="517"/>
    </row>
    <row r="1045" spans="1:12" ht="12.75">
      <c r="A1045" s="86"/>
      <c r="B1045" s="86"/>
      <c r="C1045" s="83"/>
      <c r="D1045" s="82"/>
      <c r="E1045" s="87"/>
      <c r="F1045" s="199" t="s">
        <v>1512</v>
      </c>
      <c r="G1045" s="524">
        <v>426100</v>
      </c>
      <c r="H1045" s="4" t="s">
        <v>911</v>
      </c>
      <c r="I1045" s="435">
        <v>100000</v>
      </c>
      <c r="J1045" s="435">
        <v>100000</v>
      </c>
      <c r="K1045" s="435">
        <v>33021.07</v>
      </c>
      <c r="L1045" s="517"/>
    </row>
    <row r="1046" spans="1:12" ht="12.75">
      <c r="A1046" s="82"/>
      <c r="B1046" s="82"/>
      <c r="C1046" s="83"/>
      <c r="D1046" s="82"/>
      <c r="E1046" s="83"/>
      <c r="F1046" s="199" t="s">
        <v>1513</v>
      </c>
      <c r="G1046" s="524">
        <v>426300</v>
      </c>
      <c r="H1046" s="5" t="s">
        <v>922</v>
      </c>
      <c r="I1046" s="435">
        <v>100000</v>
      </c>
      <c r="J1046" s="435">
        <v>100000</v>
      </c>
      <c r="K1046" s="435">
        <v>40200</v>
      </c>
      <c r="L1046" s="517"/>
    </row>
    <row r="1047" spans="1:12" ht="12.75">
      <c r="A1047" s="82"/>
      <c r="B1047" s="82"/>
      <c r="C1047" s="83"/>
      <c r="D1047" s="82"/>
      <c r="E1047" s="83"/>
      <c r="F1047" s="199" t="s">
        <v>1514</v>
      </c>
      <c r="G1047" s="524">
        <v>426400</v>
      </c>
      <c r="H1047" s="5" t="s">
        <v>912</v>
      </c>
      <c r="I1047" s="435">
        <v>30000</v>
      </c>
      <c r="J1047" s="435">
        <v>30000</v>
      </c>
      <c r="K1047" s="435">
        <v>0</v>
      </c>
      <c r="L1047" s="517"/>
    </row>
    <row r="1048" spans="1:12" ht="12.75">
      <c r="A1048" s="82"/>
      <c r="B1048" s="82"/>
      <c r="C1048" s="83"/>
      <c r="D1048" s="82"/>
      <c r="E1048" s="83"/>
      <c r="F1048" s="199" t="s">
        <v>1515</v>
      </c>
      <c r="G1048" s="524">
        <v>426600</v>
      </c>
      <c r="H1048" s="5" t="s">
        <v>923</v>
      </c>
      <c r="I1048" s="435">
        <v>200000</v>
      </c>
      <c r="J1048" s="435">
        <v>200000</v>
      </c>
      <c r="K1048" s="435">
        <v>79257.21</v>
      </c>
      <c r="L1048" s="517"/>
    </row>
    <row r="1049" spans="1:12" ht="12.75">
      <c r="A1049" s="82"/>
      <c r="B1049" s="82"/>
      <c r="C1049" s="83"/>
      <c r="D1049" s="82"/>
      <c r="E1049" s="83"/>
      <c r="F1049" s="199" t="s">
        <v>1516</v>
      </c>
      <c r="G1049" s="524">
        <v>426800</v>
      </c>
      <c r="H1049" s="5" t="s">
        <v>913</v>
      </c>
      <c r="I1049" s="435">
        <v>100000</v>
      </c>
      <c r="J1049" s="435">
        <v>100000</v>
      </c>
      <c r="K1049" s="435">
        <v>21941</v>
      </c>
      <c r="L1049" s="517"/>
    </row>
    <row r="1050" spans="1:12" ht="13.5">
      <c r="A1050" s="82"/>
      <c r="B1050" s="82"/>
      <c r="C1050" s="83"/>
      <c r="D1050" s="82"/>
      <c r="E1050" s="83"/>
      <c r="F1050" s="199" t="s">
        <v>1517</v>
      </c>
      <c r="G1050" s="529" t="s">
        <v>521</v>
      </c>
      <c r="H1050" s="23" t="s">
        <v>810</v>
      </c>
      <c r="I1050" s="436">
        <f>I1051</f>
        <v>2580000</v>
      </c>
      <c r="J1050" s="436">
        <f>J1051</f>
        <v>2580000</v>
      </c>
      <c r="K1050" s="436">
        <f>K1051</f>
        <v>848988.9</v>
      </c>
      <c r="L1050" s="517"/>
    </row>
    <row r="1051" spans="1:12" ht="13.5" customHeight="1">
      <c r="A1051" s="82"/>
      <c r="B1051" s="82"/>
      <c r="C1051" s="83"/>
      <c r="D1051" s="82"/>
      <c r="E1051" s="83"/>
      <c r="F1051" s="199" t="s">
        <v>1518</v>
      </c>
      <c r="G1051" s="524" t="s">
        <v>613</v>
      </c>
      <c r="H1051" s="4" t="s">
        <v>926</v>
      </c>
      <c r="I1051" s="435">
        <v>2580000</v>
      </c>
      <c r="J1051" s="435">
        <v>2580000</v>
      </c>
      <c r="K1051" s="435">
        <v>848988.9</v>
      </c>
      <c r="L1051" s="517"/>
    </row>
    <row r="1052" spans="1:12" ht="12.75">
      <c r="A1052" s="82"/>
      <c r="B1052" s="82"/>
      <c r="C1052" s="83"/>
      <c r="D1052" s="82"/>
      <c r="E1052" s="83"/>
      <c r="F1052" s="199" t="s">
        <v>1519</v>
      </c>
      <c r="G1052" s="529" t="s">
        <v>618</v>
      </c>
      <c r="H1052" s="246" t="s">
        <v>591</v>
      </c>
      <c r="I1052" s="436">
        <f>I1053</f>
        <v>100000</v>
      </c>
      <c r="J1052" s="436">
        <f>J1053</f>
        <v>100000</v>
      </c>
      <c r="K1052" s="436">
        <f>K1053</f>
        <v>0</v>
      </c>
      <c r="L1052" s="517"/>
    </row>
    <row r="1053" spans="1:12" ht="12.75">
      <c r="A1053" s="82"/>
      <c r="B1053" s="82"/>
      <c r="C1053" s="83"/>
      <c r="D1053" s="82"/>
      <c r="E1053" s="83"/>
      <c r="F1053" s="199" t="s">
        <v>1520</v>
      </c>
      <c r="G1053" s="524" t="s">
        <v>614</v>
      </c>
      <c r="H1053" s="240" t="s">
        <v>591</v>
      </c>
      <c r="I1053" s="435">
        <v>100000</v>
      </c>
      <c r="J1053" s="435">
        <v>100000</v>
      </c>
      <c r="K1053" s="435">
        <v>0</v>
      </c>
      <c r="L1053" s="517"/>
    </row>
    <row r="1054" spans="1:12" ht="1.5" customHeight="1">
      <c r="A1054" s="82"/>
      <c r="B1054" s="82"/>
      <c r="C1054" s="83"/>
      <c r="D1054" s="82"/>
      <c r="E1054" s="83"/>
      <c r="F1054" s="200"/>
      <c r="G1054" s="524"/>
      <c r="H1054" s="6"/>
      <c r="I1054" s="435"/>
      <c r="J1054" s="435"/>
      <c r="K1054" s="435"/>
      <c r="L1054" s="517"/>
    </row>
    <row r="1055" spans="1:12" ht="12.75">
      <c r="A1055" s="82"/>
      <c r="B1055" s="82"/>
      <c r="C1055" s="83"/>
      <c r="D1055" s="82"/>
      <c r="E1055" s="83"/>
      <c r="F1055" s="200"/>
      <c r="G1055" s="524"/>
      <c r="H1055" s="6"/>
      <c r="I1055" s="435"/>
      <c r="J1055" s="435"/>
      <c r="K1055" s="435"/>
      <c r="L1055" s="517"/>
    </row>
    <row r="1056" spans="1:12" ht="13.5" thickBot="1">
      <c r="A1056" s="82"/>
      <c r="B1056" s="82"/>
      <c r="C1056" s="83"/>
      <c r="D1056" s="82"/>
      <c r="E1056" s="83"/>
      <c r="F1056" s="200"/>
      <c r="G1056" s="524"/>
      <c r="H1056" s="6"/>
      <c r="I1056" s="435"/>
      <c r="J1056" s="435"/>
      <c r="K1056" s="435"/>
      <c r="L1056" s="517"/>
    </row>
    <row r="1057" spans="1:12" s="36" customFormat="1" ht="13.5" thickBot="1">
      <c r="A1057" s="82"/>
      <c r="B1057" s="82"/>
      <c r="C1057" s="83"/>
      <c r="D1057" s="82"/>
      <c r="E1057" s="83"/>
      <c r="F1057" s="200"/>
      <c r="G1057" s="524"/>
      <c r="H1057" s="127" t="s">
        <v>837</v>
      </c>
      <c r="I1057" s="603">
        <f>I1052+I1050+I1044+I1041+I1039+I1037+I1034+I1028+I1026+I1024+I1022</f>
        <v>24030000</v>
      </c>
      <c r="J1057" s="603">
        <f>J1052+J1050+J1044+J1041+J1039+J1037+J1034+J1028+J1026+J1024+J1022</f>
        <v>24030000</v>
      </c>
      <c r="K1057" s="603">
        <f>K1052+K1050+K1044+K1041+K1039+K1037+K1034+K1028+K1026+K1024+K1022</f>
        <v>8809777.24</v>
      </c>
      <c r="L1057" s="517"/>
    </row>
    <row r="1058" spans="1:12" s="36" customFormat="1" ht="12.75">
      <c r="A1058" s="86"/>
      <c r="B1058" s="86"/>
      <c r="C1058" s="83"/>
      <c r="D1058" s="82"/>
      <c r="E1058" s="87"/>
      <c r="F1058" s="200"/>
      <c r="G1058" s="35"/>
      <c r="H1058" s="99"/>
      <c r="I1058" s="435"/>
      <c r="J1058" s="435"/>
      <c r="K1058" s="435"/>
      <c r="L1058" s="517"/>
    </row>
    <row r="1059" spans="1:12" s="36" customFormat="1" ht="12.75" hidden="1">
      <c r="A1059" s="82"/>
      <c r="B1059" s="82"/>
      <c r="C1059" s="83"/>
      <c r="D1059" s="82"/>
      <c r="E1059" s="83"/>
      <c r="F1059" s="200"/>
      <c r="G1059" s="524"/>
      <c r="H1059" s="96" t="s">
        <v>546</v>
      </c>
      <c r="I1059" s="435"/>
      <c r="J1059" s="435"/>
      <c r="K1059" s="435"/>
      <c r="L1059" s="517"/>
    </row>
    <row r="1060" spans="1:12" s="36" customFormat="1" ht="12.75" hidden="1">
      <c r="A1060" s="82"/>
      <c r="B1060" s="82"/>
      <c r="C1060" s="83"/>
      <c r="D1060" s="82"/>
      <c r="E1060" s="83"/>
      <c r="F1060" s="200"/>
      <c r="G1060" s="524" t="s">
        <v>342</v>
      </c>
      <c r="H1060" s="95" t="s">
        <v>813</v>
      </c>
      <c r="I1060" s="435" t="e">
        <f>#REF!</f>
        <v>#REF!</v>
      </c>
      <c r="J1060" s="435" t="e">
        <f>#REF!</f>
        <v>#REF!</v>
      </c>
      <c r="K1060" s="435" t="e">
        <f>#REF!</f>
        <v>#REF!</v>
      </c>
      <c r="L1060" s="517"/>
    </row>
    <row r="1061" spans="1:12" s="36" customFormat="1" ht="13.5" hidden="1" thickBot="1">
      <c r="A1061" s="82"/>
      <c r="B1061" s="82"/>
      <c r="C1061" s="83"/>
      <c r="D1061" s="82"/>
      <c r="E1061" s="83"/>
      <c r="F1061" s="200"/>
      <c r="G1061" s="35"/>
      <c r="H1061" s="127" t="s">
        <v>547</v>
      </c>
      <c r="I1061" s="436" t="e">
        <f>I1060</f>
        <v>#REF!</v>
      </c>
      <c r="J1061" s="436" t="e">
        <f>J1060</f>
        <v>#REF!</v>
      </c>
      <c r="K1061" s="436" t="e">
        <f>K1060</f>
        <v>#REF!</v>
      </c>
      <c r="L1061" s="517"/>
    </row>
    <row r="1062" spans="1:12" ht="12.75">
      <c r="A1062" s="82"/>
      <c r="B1062" s="82"/>
      <c r="C1062" s="83"/>
      <c r="D1062" s="82"/>
      <c r="E1062" s="83"/>
      <c r="F1062" s="200"/>
      <c r="G1062" s="524"/>
      <c r="H1062" s="6"/>
      <c r="I1062" s="435"/>
      <c r="J1062" s="435"/>
      <c r="K1062" s="435"/>
      <c r="L1062" s="517"/>
    </row>
    <row r="1063" spans="1:12" s="22" customFormat="1" ht="12.75" customHeight="1">
      <c r="A1063" s="100"/>
      <c r="B1063" s="100"/>
      <c r="C1063" s="217"/>
      <c r="D1063" s="268" t="s">
        <v>544</v>
      </c>
      <c r="E1063" s="101"/>
      <c r="F1063" s="199"/>
      <c r="G1063" s="543"/>
      <c r="H1063" s="102" t="s">
        <v>542</v>
      </c>
      <c r="I1063" s="468"/>
      <c r="J1063" s="468"/>
      <c r="K1063" s="468"/>
      <c r="L1063" s="517"/>
    </row>
    <row r="1064" spans="1:12" s="22" customFormat="1" ht="17.25" customHeight="1">
      <c r="A1064" s="88"/>
      <c r="B1064" s="117"/>
      <c r="C1064" s="218"/>
      <c r="D1064" s="269" t="s">
        <v>545</v>
      </c>
      <c r="E1064" s="118"/>
      <c r="F1064" s="203"/>
      <c r="G1064" s="544"/>
      <c r="H1064" s="131" t="s">
        <v>543</v>
      </c>
      <c r="I1064" s="469"/>
      <c r="J1064" s="469"/>
      <c r="K1064" s="469"/>
      <c r="L1064" s="517"/>
    </row>
    <row r="1065" spans="1:12" s="31" customFormat="1" ht="13.5">
      <c r="A1065" s="120"/>
      <c r="B1065" s="120"/>
      <c r="C1065" s="207"/>
      <c r="D1065" s="209"/>
      <c r="E1065" s="121">
        <v>912</v>
      </c>
      <c r="F1065" s="207"/>
      <c r="G1065" s="545"/>
      <c r="H1065" s="122" t="s">
        <v>689</v>
      </c>
      <c r="I1065" s="470"/>
      <c r="J1065" s="470"/>
      <c r="K1065" s="470"/>
      <c r="L1065" s="517"/>
    </row>
    <row r="1066" spans="1:12" s="22" customFormat="1" ht="13.5">
      <c r="A1066" s="88"/>
      <c r="B1066" s="88"/>
      <c r="C1066" s="83"/>
      <c r="D1066" s="82"/>
      <c r="E1066" s="89"/>
      <c r="F1066" s="200" t="s">
        <v>1521</v>
      </c>
      <c r="G1066" s="535">
        <v>413000</v>
      </c>
      <c r="H1066" s="242" t="s">
        <v>824</v>
      </c>
      <c r="I1066" s="454">
        <f>I1067</f>
        <v>610000</v>
      </c>
      <c r="J1066" s="454">
        <f>J1067</f>
        <v>610000</v>
      </c>
      <c r="K1066" s="454">
        <f>K1067</f>
        <v>256276.91</v>
      </c>
      <c r="L1066" s="517"/>
    </row>
    <row r="1067" spans="1:12" ht="12.75">
      <c r="A1067" s="86"/>
      <c r="B1067" s="86"/>
      <c r="C1067" s="83"/>
      <c r="D1067" s="82"/>
      <c r="E1067" s="87"/>
      <c r="F1067" s="200" t="s">
        <v>1522</v>
      </c>
      <c r="G1067" s="536">
        <v>413100</v>
      </c>
      <c r="H1067" s="245" t="s">
        <v>824</v>
      </c>
      <c r="I1067" s="435">
        <v>610000</v>
      </c>
      <c r="J1067" s="435">
        <v>610000</v>
      </c>
      <c r="K1067" s="435">
        <v>256276.91</v>
      </c>
      <c r="L1067" s="517"/>
    </row>
    <row r="1068" spans="1:12" s="22" customFormat="1" ht="13.5">
      <c r="A1068" s="88"/>
      <c r="B1068" s="88"/>
      <c r="C1068" s="83"/>
      <c r="D1068" s="82"/>
      <c r="E1068" s="89"/>
      <c r="F1068" s="200" t="s">
        <v>1523</v>
      </c>
      <c r="G1068" s="535">
        <v>415000</v>
      </c>
      <c r="H1068" s="242" t="s">
        <v>852</v>
      </c>
      <c r="I1068" s="454">
        <f>I1069</f>
        <v>2456000</v>
      </c>
      <c r="J1068" s="454">
        <f>J1069</f>
        <v>2456000</v>
      </c>
      <c r="K1068" s="454">
        <f>K1069</f>
        <v>1056655.27</v>
      </c>
      <c r="L1068" s="517"/>
    </row>
    <row r="1069" spans="1:12" ht="12.75">
      <c r="A1069" s="86"/>
      <c r="B1069" s="86"/>
      <c r="C1069" s="83"/>
      <c r="D1069" s="82"/>
      <c r="E1069" s="87"/>
      <c r="F1069" s="200" t="s">
        <v>1524</v>
      </c>
      <c r="G1069" s="536">
        <v>415100</v>
      </c>
      <c r="H1069" s="245" t="s">
        <v>852</v>
      </c>
      <c r="I1069" s="455">
        <v>2456000</v>
      </c>
      <c r="J1069" s="455">
        <v>2456000</v>
      </c>
      <c r="K1069" s="455">
        <v>1056655.27</v>
      </c>
      <c r="L1069" s="517"/>
    </row>
    <row r="1070" spans="1:12" s="22" customFormat="1" ht="13.5">
      <c r="A1070" s="88"/>
      <c r="B1070" s="88"/>
      <c r="C1070" s="83"/>
      <c r="D1070" s="82"/>
      <c r="E1070" s="89"/>
      <c r="F1070" s="200" t="s">
        <v>1525</v>
      </c>
      <c r="G1070" s="54">
        <v>416000</v>
      </c>
      <c r="H1070" s="20" t="s">
        <v>853</v>
      </c>
      <c r="I1070" s="434">
        <f>I1071</f>
        <v>980000</v>
      </c>
      <c r="J1070" s="434">
        <f>J1071</f>
        <v>980000</v>
      </c>
      <c r="K1070" s="434">
        <f>K1071</f>
        <v>313110.46</v>
      </c>
      <c r="L1070" s="517"/>
    </row>
    <row r="1071" spans="1:12" ht="12.75">
      <c r="A1071" s="86"/>
      <c r="B1071" s="86"/>
      <c r="C1071" s="83"/>
      <c r="D1071" s="82"/>
      <c r="E1071" s="87"/>
      <c r="F1071" s="200" t="s">
        <v>1526</v>
      </c>
      <c r="G1071" s="35">
        <v>416100</v>
      </c>
      <c r="H1071" s="4" t="s">
        <v>853</v>
      </c>
      <c r="I1071" s="435">
        <v>980000</v>
      </c>
      <c r="J1071" s="435">
        <v>980000</v>
      </c>
      <c r="K1071" s="435">
        <v>313110.46</v>
      </c>
      <c r="L1071" s="517"/>
    </row>
    <row r="1072" spans="1:12" s="22" customFormat="1" ht="13.5">
      <c r="A1072" s="88"/>
      <c r="B1072" s="88"/>
      <c r="C1072" s="83"/>
      <c r="D1072" s="82"/>
      <c r="E1072" s="89"/>
      <c r="F1072" s="200" t="s">
        <v>687</v>
      </c>
      <c r="G1072" s="54">
        <v>421000</v>
      </c>
      <c r="H1072" s="20" t="s">
        <v>799</v>
      </c>
      <c r="I1072" s="434">
        <f>I1073+I1074+I1075+I1076+I1077</f>
        <v>6170000</v>
      </c>
      <c r="J1072" s="434">
        <f>J1073+J1074+J1075+J1076+J1077</f>
        <v>6170000</v>
      </c>
      <c r="K1072" s="434">
        <f>K1073+K1074+K1075+K1076+K1077</f>
        <v>1429947.2699999998</v>
      </c>
      <c r="L1072" s="517"/>
    </row>
    <row r="1073" spans="1:12" ht="12.75">
      <c r="A1073" s="86"/>
      <c r="B1073" s="86"/>
      <c r="C1073" s="83"/>
      <c r="D1073" s="82"/>
      <c r="E1073" s="87"/>
      <c r="F1073" s="200" t="s">
        <v>1527</v>
      </c>
      <c r="G1073" s="35">
        <v>421100</v>
      </c>
      <c r="H1073" s="4" t="s">
        <v>894</v>
      </c>
      <c r="I1073" s="435">
        <v>150000</v>
      </c>
      <c r="J1073" s="435">
        <v>150000</v>
      </c>
      <c r="K1073" s="435">
        <v>96976.4</v>
      </c>
      <c r="L1073" s="517"/>
    </row>
    <row r="1074" spans="1:12" ht="12.75">
      <c r="A1074" s="82"/>
      <c r="B1074" s="82"/>
      <c r="C1074" s="83"/>
      <c r="D1074" s="82"/>
      <c r="E1074" s="83"/>
      <c r="F1074" s="200" t="s">
        <v>1528</v>
      </c>
      <c r="G1074" s="35">
        <v>421200</v>
      </c>
      <c r="H1074" s="4" t="s">
        <v>920</v>
      </c>
      <c r="I1074" s="435">
        <v>5000000</v>
      </c>
      <c r="J1074" s="435">
        <v>5000000</v>
      </c>
      <c r="K1074" s="435">
        <v>1068471.95</v>
      </c>
      <c r="L1074" s="517"/>
    </row>
    <row r="1075" spans="1:12" ht="12.75">
      <c r="A1075" s="82"/>
      <c r="B1075" s="82"/>
      <c r="C1075" s="83"/>
      <c r="D1075" s="82"/>
      <c r="E1075" s="83"/>
      <c r="F1075" s="200" t="s">
        <v>1529</v>
      </c>
      <c r="G1075" s="524">
        <v>421300</v>
      </c>
      <c r="H1075" s="5" t="s">
        <v>896</v>
      </c>
      <c r="I1075" s="435">
        <v>800000</v>
      </c>
      <c r="J1075" s="435">
        <v>800000</v>
      </c>
      <c r="K1075" s="435">
        <v>151869.12</v>
      </c>
      <c r="L1075" s="517"/>
    </row>
    <row r="1076" spans="1:12" ht="12.75">
      <c r="A1076" s="82"/>
      <c r="B1076" s="82"/>
      <c r="C1076" s="83"/>
      <c r="D1076" s="82"/>
      <c r="E1076" s="83"/>
      <c r="F1076" s="200" t="s">
        <v>1530</v>
      </c>
      <c r="G1076" s="35">
        <v>421400</v>
      </c>
      <c r="H1076" s="5" t="s">
        <v>883</v>
      </c>
      <c r="I1076" s="435">
        <v>100000</v>
      </c>
      <c r="J1076" s="435">
        <v>100000</v>
      </c>
      <c r="K1076" s="435">
        <v>45535.45</v>
      </c>
      <c r="L1076" s="517"/>
    </row>
    <row r="1077" spans="1:12" ht="12.75">
      <c r="A1077" s="82"/>
      <c r="B1077" s="82"/>
      <c r="C1077" s="83"/>
      <c r="D1077" s="82"/>
      <c r="E1077" s="83"/>
      <c r="F1077" s="200" t="s">
        <v>1531</v>
      </c>
      <c r="G1077" s="35">
        <v>421500</v>
      </c>
      <c r="H1077" s="4" t="s">
        <v>897</v>
      </c>
      <c r="I1077" s="435">
        <v>120000</v>
      </c>
      <c r="J1077" s="435">
        <v>120000</v>
      </c>
      <c r="K1077" s="435">
        <v>67094.35</v>
      </c>
      <c r="L1077" s="517"/>
    </row>
    <row r="1078" spans="1:12" s="22" customFormat="1" ht="13.5">
      <c r="A1078" s="88"/>
      <c r="B1078" s="88"/>
      <c r="C1078" s="83"/>
      <c r="D1078" s="82"/>
      <c r="E1078" s="89"/>
      <c r="F1078" s="200" t="s">
        <v>1532</v>
      </c>
      <c r="G1078" s="54">
        <v>422000</v>
      </c>
      <c r="H1078" s="20" t="s">
        <v>793</v>
      </c>
      <c r="I1078" s="434">
        <f>I1079+I1080</f>
        <v>2310000</v>
      </c>
      <c r="J1078" s="434">
        <f>J1079+J1080</f>
        <v>2310000</v>
      </c>
      <c r="K1078" s="434">
        <f>K1079+K1080</f>
        <v>942104</v>
      </c>
      <c r="L1078" s="517"/>
    </row>
    <row r="1079" spans="1:12" ht="12.75">
      <c r="A1079" s="86"/>
      <c r="B1079" s="86"/>
      <c r="C1079" s="83"/>
      <c r="D1079" s="82"/>
      <c r="E1079" s="87"/>
      <c r="F1079" s="200" t="s">
        <v>1533</v>
      </c>
      <c r="G1079" s="35">
        <v>422100</v>
      </c>
      <c r="H1079" s="4" t="s">
        <v>899</v>
      </c>
      <c r="I1079" s="435">
        <v>10000</v>
      </c>
      <c r="J1079" s="435">
        <v>10000</v>
      </c>
      <c r="K1079" s="435">
        <v>2316</v>
      </c>
      <c r="L1079" s="517"/>
    </row>
    <row r="1080" spans="1:13" ht="12.75">
      <c r="A1080" s="82"/>
      <c r="B1080" s="82"/>
      <c r="C1080" s="83"/>
      <c r="D1080" s="82"/>
      <c r="E1080" s="83"/>
      <c r="F1080" s="200" t="s">
        <v>700</v>
      </c>
      <c r="G1080" s="35">
        <v>422400</v>
      </c>
      <c r="H1080" s="4" t="s">
        <v>921</v>
      </c>
      <c r="I1080" s="435">
        <v>2300000</v>
      </c>
      <c r="J1080" s="435">
        <v>2300000</v>
      </c>
      <c r="K1080" s="435">
        <v>939788</v>
      </c>
      <c r="L1080" s="517"/>
      <c r="M1080" s="515"/>
    </row>
    <row r="1081" spans="1:12" s="22" customFormat="1" ht="13.5">
      <c r="A1081" s="88"/>
      <c r="B1081" s="88"/>
      <c r="C1081" s="83"/>
      <c r="D1081" s="82"/>
      <c r="E1081" s="89"/>
      <c r="F1081" s="200" t="s">
        <v>1534</v>
      </c>
      <c r="G1081" s="54">
        <v>423000</v>
      </c>
      <c r="H1081" s="20" t="s">
        <v>794</v>
      </c>
      <c r="I1081" s="434">
        <f>I1083+I1084+I1082+I1085</f>
        <v>160000</v>
      </c>
      <c r="J1081" s="434">
        <f>J1082+J1083+J1084</f>
        <v>160000</v>
      </c>
      <c r="K1081" s="434">
        <f>K1082+K1083+K1084+K1085</f>
        <v>0</v>
      </c>
      <c r="L1081" s="517"/>
    </row>
    <row r="1082" spans="1:12" s="22" customFormat="1" ht="12.75">
      <c r="A1082" s="88"/>
      <c r="B1082" s="88"/>
      <c r="C1082" s="83"/>
      <c r="D1082" s="82"/>
      <c r="E1082" s="89"/>
      <c r="F1082" s="200"/>
      <c r="G1082" s="617" t="s">
        <v>499</v>
      </c>
      <c r="H1082" s="4" t="s">
        <v>939</v>
      </c>
      <c r="I1082" s="435">
        <v>30000</v>
      </c>
      <c r="J1082" s="435">
        <v>30000</v>
      </c>
      <c r="K1082" s="435">
        <v>0</v>
      </c>
      <c r="L1082" s="517"/>
    </row>
    <row r="1083" spans="1:12" ht="12.75">
      <c r="A1083" s="86"/>
      <c r="B1083" s="86"/>
      <c r="C1083" s="83"/>
      <c r="D1083" s="82"/>
      <c r="E1083" s="87"/>
      <c r="F1083" s="200" t="s">
        <v>1535</v>
      </c>
      <c r="G1083" s="35" t="s">
        <v>369</v>
      </c>
      <c r="H1083" s="4" t="s">
        <v>901</v>
      </c>
      <c r="I1083" s="435">
        <v>30000</v>
      </c>
      <c r="J1083" s="435">
        <v>30000</v>
      </c>
      <c r="K1083" s="435">
        <v>0</v>
      </c>
      <c r="L1083" s="517"/>
    </row>
    <row r="1084" spans="1:12" ht="12.75">
      <c r="A1084" s="82"/>
      <c r="B1084" s="82"/>
      <c r="C1084" s="83"/>
      <c r="D1084" s="82"/>
      <c r="E1084" s="83"/>
      <c r="F1084" s="200" t="s">
        <v>1536</v>
      </c>
      <c r="G1084" s="524">
        <v>423300</v>
      </c>
      <c r="H1084" s="5" t="s">
        <v>902</v>
      </c>
      <c r="I1084" s="435">
        <v>100000</v>
      </c>
      <c r="J1084" s="435">
        <v>100000</v>
      </c>
      <c r="K1084" s="435">
        <v>0</v>
      </c>
      <c r="L1084" s="517"/>
    </row>
    <row r="1085" spans="1:12" ht="12.75">
      <c r="A1085" s="82"/>
      <c r="B1085" s="82"/>
      <c r="C1085" s="83"/>
      <c r="D1085" s="82"/>
      <c r="E1085" s="83"/>
      <c r="F1085" s="200" t="s">
        <v>1537</v>
      </c>
      <c r="G1085" s="524">
        <v>423900</v>
      </c>
      <c r="H1085" s="5" t="s">
        <v>906</v>
      </c>
      <c r="I1085" s="435">
        <v>0</v>
      </c>
      <c r="J1085" s="435">
        <v>0</v>
      </c>
      <c r="K1085" s="435">
        <v>0</v>
      </c>
      <c r="L1085" s="517"/>
    </row>
    <row r="1086" spans="1:12" s="22" customFormat="1" ht="13.5">
      <c r="A1086" s="88"/>
      <c r="B1086" s="88"/>
      <c r="C1086" s="83"/>
      <c r="D1086" s="82"/>
      <c r="E1086" s="89"/>
      <c r="F1086" s="200" t="s">
        <v>1538</v>
      </c>
      <c r="G1086" s="528">
        <v>424000</v>
      </c>
      <c r="H1086" s="20" t="s">
        <v>800</v>
      </c>
      <c r="I1086" s="434">
        <f>I1087+I1088</f>
        <v>35000</v>
      </c>
      <c r="J1086" s="434">
        <f>J1087+J1088</f>
        <v>35000</v>
      </c>
      <c r="K1086" s="434">
        <f>K1087+K1088</f>
        <v>14400</v>
      </c>
      <c r="L1086" s="517"/>
    </row>
    <row r="1087" spans="1:12" ht="12.75">
      <c r="A1087" s="86"/>
      <c r="B1087" s="86"/>
      <c r="C1087" s="83"/>
      <c r="D1087" s="82"/>
      <c r="E1087" s="87"/>
      <c r="F1087" s="200" t="s">
        <v>1539</v>
      </c>
      <c r="G1087" s="524">
        <v>424300</v>
      </c>
      <c r="H1087" s="4" t="s">
        <v>235</v>
      </c>
      <c r="I1087" s="435">
        <v>5000</v>
      </c>
      <c r="J1087" s="435">
        <v>5000</v>
      </c>
      <c r="K1087" s="435">
        <v>0</v>
      </c>
      <c r="L1087" s="517"/>
    </row>
    <row r="1088" spans="1:12" ht="12.75">
      <c r="A1088" s="86"/>
      <c r="B1088" s="86"/>
      <c r="C1088" s="83"/>
      <c r="D1088" s="82"/>
      <c r="E1088" s="87"/>
      <c r="F1088" s="200" t="s">
        <v>1540</v>
      </c>
      <c r="G1088" s="524" t="s">
        <v>615</v>
      </c>
      <c r="H1088" s="240" t="s">
        <v>590</v>
      </c>
      <c r="I1088" s="435">
        <v>30000</v>
      </c>
      <c r="J1088" s="435">
        <v>30000</v>
      </c>
      <c r="K1088" s="435">
        <v>14400</v>
      </c>
      <c r="L1088" s="517"/>
    </row>
    <row r="1089" spans="1:12" s="22" customFormat="1" ht="13.5">
      <c r="A1089" s="88"/>
      <c r="B1089" s="88"/>
      <c r="C1089" s="83"/>
      <c r="D1089" s="82"/>
      <c r="E1089" s="89"/>
      <c r="F1089" s="200" t="s">
        <v>1541</v>
      </c>
      <c r="G1089" s="528">
        <v>425000</v>
      </c>
      <c r="H1089" s="20" t="s">
        <v>797</v>
      </c>
      <c r="I1089" s="434">
        <f>I1090+I1091</f>
        <v>2120000</v>
      </c>
      <c r="J1089" s="434">
        <f>J1090+J1091</f>
        <v>2120000</v>
      </c>
      <c r="K1089" s="434">
        <f>K1090+K1091</f>
        <v>472086.69</v>
      </c>
      <c r="L1089" s="517"/>
    </row>
    <row r="1090" spans="1:12" ht="12.75">
      <c r="A1090" s="86"/>
      <c r="B1090" s="86"/>
      <c r="C1090" s="83"/>
      <c r="D1090" s="82"/>
      <c r="E1090" s="87"/>
      <c r="F1090" s="200" t="s">
        <v>1542</v>
      </c>
      <c r="G1090" s="524">
        <v>425100</v>
      </c>
      <c r="H1090" s="4" t="s">
        <v>909</v>
      </c>
      <c r="I1090" s="435">
        <v>1920000</v>
      </c>
      <c r="J1090" s="435">
        <v>1920000</v>
      </c>
      <c r="K1090" s="435">
        <v>445885.13</v>
      </c>
      <c r="L1090" s="517"/>
    </row>
    <row r="1091" spans="1:12" ht="12.75">
      <c r="A1091" s="82"/>
      <c r="B1091" s="82"/>
      <c r="C1091" s="83"/>
      <c r="D1091" s="82"/>
      <c r="E1091" s="83"/>
      <c r="F1091" s="200" t="s">
        <v>1543</v>
      </c>
      <c r="G1091" s="524">
        <v>425200</v>
      </c>
      <c r="H1091" s="4" t="s">
        <v>237</v>
      </c>
      <c r="I1091" s="435">
        <v>200000</v>
      </c>
      <c r="J1091" s="435">
        <v>200000</v>
      </c>
      <c r="K1091" s="435">
        <v>26201.56</v>
      </c>
      <c r="L1091" s="517"/>
    </row>
    <row r="1092" spans="1:12" s="22" customFormat="1" ht="13.5">
      <c r="A1092" s="88"/>
      <c r="B1092" s="88"/>
      <c r="C1092" s="83"/>
      <c r="D1092" s="82"/>
      <c r="E1092" s="89"/>
      <c r="F1092" s="200" t="s">
        <v>1544</v>
      </c>
      <c r="G1092" s="528">
        <v>426000</v>
      </c>
      <c r="H1092" s="20" t="s">
        <v>795</v>
      </c>
      <c r="I1092" s="434">
        <f>I1093+I1094+I1095+I1096+I1097</f>
        <v>365000</v>
      </c>
      <c r="J1092" s="434">
        <f>J1093+J1094+J1095+J1096+J1097</f>
        <v>365000</v>
      </c>
      <c r="K1092" s="434">
        <f>K1093+K1094+K1095+K1096+K1097</f>
        <v>160947.89</v>
      </c>
      <c r="L1092" s="517"/>
    </row>
    <row r="1093" spans="1:12" ht="12.75">
      <c r="A1093" s="86"/>
      <c r="B1093" s="86"/>
      <c r="C1093" s="83"/>
      <c r="D1093" s="82"/>
      <c r="E1093" s="87"/>
      <c r="F1093" s="200" t="s">
        <v>1545</v>
      </c>
      <c r="G1093" s="524">
        <v>426100</v>
      </c>
      <c r="H1093" s="4" t="s">
        <v>911</v>
      </c>
      <c r="I1093" s="435">
        <v>100000</v>
      </c>
      <c r="J1093" s="435">
        <v>100000</v>
      </c>
      <c r="K1093" s="435">
        <v>37184.25</v>
      </c>
      <c r="L1093" s="517"/>
    </row>
    <row r="1094" spans="1:12" ht="12.75">
      <c r="A1094" s="82"/>
      <c r="B1094" s="82"/>
      <c r="C1094" s="83"/>
      <c r="D1094" s="82"/>
      <c r="E1094" s="83"/>
      <c r="F1094" s="200" t="s">
        <v>1546</v>
      </c>
      <c r="G1094" s="524">
        <v>426300</v>
      </c>
      <c r="H1094" s="5" t="s">
        <v>922</v>
      </c>
      <c r="I1094" s="435">
        <v>50000</v>
      </c>
      <c r="J1094" s="435">
        <v>50000</v>
      </c>
      <c r="K1094" s="435">
        <v>0</v>
      </c>
      <c r="L1094" s="517"/>
    </row>
    <row r="1095" spans="1:12" ht="12.75">
      <c r="A1095" s="82"/>
      <c r="B1095" s="82"/>
      <c r="C1095" s="83"/>
      <c r="D1095" s="82"/>
      <c r="E1095" s="83"/>
      <c r="F1095" s="200" t="s">
        <v>1547</v>
      </c>
      <c r="G1095" s="524">
        <v>426400</v>
      </c>
      <c r="H1095" s="5" t="s">
        <v>912</v>
      </c>
      <c r="I1095" s="435">
        <v>15000</v>
      </c>
      <c r="J1095" s="435">
        <v>15000</v>
      </c>
      <c r="K1095" s="435">
        <v>5125</v>
      </c>
      <c r="L1095" s="517"/>
    </row>
    <row r="1096" spans="1:12" ht="12.75">
      <c r="A1096" s="82"/>
      <c r="B1096" s="82"/>
      <c r="C1096" s="83"/>
      <c r="D1096" s="82"/>
      <c r="E1096" s="83"/>
      <c r="F1096" s="200" t="s">
        <v>1548</v>
      </c>
      <c r="G1096" s="524">
        <v>426600</v>
      </c>
      <c r="H1096" s="5" t="s">
        <v>923</v>
      </c>
      <c r="I1096" s="435">
        <v>100000</v>
      </c>
      <c r="J1096" s="435">
        <v>100000</v>
      </c>
      <c r="K1096" s="435">
        <v>70599.8</v>
      </c>
      <c r="L1096" s="517"/>
    </row>
    <row r="1097" spans="1:12" ht="12.75">
      <c r="A1097" s="82"/>
      <c r="B1097" s="82"/>
      <c r="C1097" s="83"/>
      <c r="D1097" s="82"/>
      <c r="E1097" s="83"/>
      <c r="F1097" s="200" t="s">
        <v>1549</v>
      </c>
      <c r="G1097" s="524">
        <v>426800</v>
      </c>
      <c r="H1097" s="5" t="s">
        <v>913</v>
      </c>
      <c r="I1097" s="435">
        <v>100000</v>
      </c>
      <c r="J1097" s="435">
        <v>100000</v>
      </c>
      <c r="K1097" s="435">
        <v>48038.84</v>
      </c>
      <c r="L1097" s="517"/>
    </row>
    <row r="1098" spans="1:12" ht="13.5">
      <c r="A1098" s="82"/>
      <c r="B1098" s="82"/>
      <c r="C1098" s="83"/>
      <c r="D1098" s="82"/>
      <c r="E1098" s="83"/>
      <c r="F1098" s="200"/>
      <c r="G1098" s="528" t="s">
        <v>521</v>
      </c>
      <c r="H1098" s="23" t="s">
        <v>717</v>
      </c>
      <c r="I1098" s="434">
        <f>I1099</f>
        <v>2030000</v>
      </c>
      <c r="J1098" s="434">
        <f>J1099</f>
        <v>2030000</v>
      </c>
      <c r="K1098" s="434">
        <f>K1099</f>
        <v>734056.24</v>
      </c>
      <c r="L1098" s="517"/>
    </row>
    <row r="1099" spans="1:12" ht="13.5" thickBot="1">
      <c r="A1099" s="82"/>
      <c r="B1099" s="82"/>
      <c r="C1099" s="83"/>
      <c r="D1099" s="82"/>
      <c r="E1099" s="83"/>
      <c r="F1099" s="200"/>
      <c r="G1099" s="524" t="s">
        <v>613</v>
      </c>
      <c r="H1099" s="5" t="s">
        <v>718</v>
      </c>
      <c r="I1099" s="435">
        <v>2030000</v>
      </c>
      <c r="J1099" s="435">
        <v>2030000</v>
      </c>
      <c r="K1099" s="435">
        <v>734056.24</v>
      </c>
      <c r="L1099" s="517"/>
    </row>
    <row r="1100" spans="1:12" s="36" customFormat="1" ht="13.5" thickBot="1">
      <c r="A1100" s="82"/>
      <c r="B1100" s="82"/>
      <c r="C1100" s="214"/>
      <c r="D1100" s="270"/>
      <c r="E1100" s="83"/>
      <c r="F1100" s="200"/>
      <c r="G1100" s="524"/>
      <c r="H1100" s="94"/>
      <c r="I1100" s="435"/>
      <c r="J1100" s="435"/>
      <c r="K1100" s="435"/>
      <c r="L1100" s="517"/>
    </row>
    <row r="1101" spans="1:12" s="36" customFormat="1" ht="13.5" thickBot="1">
      <c r="A1101" s="82"/>
      <c r="B1101" s="82"/>
      <c r="C1101" s="214"/>
      <c r="D1101" s="270"/>
      <c r="E1101" s="83"/>
      <c r="F1101" s="200"/>
      <c r="G1101" s="524"/>
      <c r="H1101" s="127" t="s">
        <v>838</v>
      </c>
      <c r="I1101" s="481">
        <f>I1066+I1068+I1070+I1072+I1078+I1081+I1086+I1089+I1092+I1098</f>
        <v>17236000</v>
      </c>
      <c r="J1101" s="481">
        <f>J1066+J1068+J1070+J1072+J1078+J1081+J1086+J1089+J1092+J1098</f>
        <v>17236000</v>
      </c>
      <c r="K1101" s="603">
        <f>K1066+K1068+K1070+K1072+K1078+K1081+K1086+K1089+K1092+K1098</f>
        <v>5379584.7299999995</v>
      </c>
      <c r="L1101" s="517"/>
    </row>
    <row r="1102" spans="1:12" s="36" customFormat="1" ht="12.75">
      <c r="A1102" s="82"/>
      <c r="B1102" s="82"/>
      <c r="C1102" s="214"/>
      <c r="D1102" s="270"/>
      <c r="E1102" s="83"/>
      <c r="F1102" s="200"/>
      <c r="G1102" s="35"/>
      <c r="H1102" s="292"/>
      <c r="I1102" s="436"/>
      <c r="J1102" s="436"/>
      <c r="K1102" s="436"/>
      <c r="L1102" s="517"/>
    </row>
    <row r="1103" spans="1:12" s="22" customFormat="1" ht="12.75" customHeight="1">
      <c r="A1103" s="100"/>
      <c r="B1103" s="100"/>
      <c r="C1103" s="211"/>
      <c r="D1103" s="268" t="s">
        <v>544</v>
      </c>
      <c r="E1103" s="101"/>
      <c r="F1103" s="199"/>
      <c r="G1103" s="543"/>
      <c r="H1103" s="102" t="s">
        <v>542</v>
      </c>
      <c r="I1103" s="468"/>
      <c r="J1103" s="468"/>
      <c r="K1103" s="468"/>
      <c r="L1103" s="517"/>
    </row>
    <row r="1104" spans="1:12" s="22" customFormat="1" ht="17.25" customHeight="1">
      <c r="A1104" s="88"/>
      <c r="B1104" s="117"/>
      <c r="C1104" s="212"/>
      <c r="D1104" s="269" t="s">
        <v>545</v>
      </c>
      <c r="E1104" s="118"/>
      <c r="F1104" s="203"/>
      <c r="G1104" s="544"/>
      <c r="H1104" s="131" t="s">
        <v>543</v>
      </c>
      <c r="I1104" s="469"/>
      <c r="J1104" s="469"/>
      <c r="K1104" s="469"/>
      <c r="L1104" s="517"/>
    </row>
    <row r="1105" spans="1:12" s="31" customFormat="1" ht="13.5">
      <c r="A1105" s="120"/>
      <c r="B1105" s="120"/>
      <c r="C1105" s="207"/>
      <c r="D1105" s="209"/>
      <c r="E1105" s="121">
        <v>912</v>
      </c>
      <c r="F1105" s="207"/>
      <c r="G1105" s="545"/>
      <c r="H1105" s="122" t="s">
        <v>690</v>
      </c>
      <c r="I1105" s="470"/>
      <c r="J1105" s="470"/>
      <c r="K1105" s="470"/>
      <c r="L1105" s="517"/>
    </row>
    <row r="1106" spans="1:12" s="22" customFormat="1" ht="13.5">
      <c r="A1106" s="88"/>
      <c r="B1106" s="88"/>
      <c r="C1106" s="83"/>
      <c r="D1106" s="82"/>
      <c r="E1106" s="89"/>
      <c r="F1106" s="257">
        <v>943</v>
      </c>
      <c r="G1106" s="535">
        <v>413000</v>
      </c>
      <c r="H1106" s="242" t="s">
        <v>824</v>
      </c>
      <c r="I1106" s="454">
        <f>I1107</f>
        <v>1100000</v>
      </c>
      <c r="J1106" s="454">
        <f>J1107</f>
        <v>1100000</v>
      </c>
      <c r="K1106" s="454">
        <f>K1107</f>
        <v>535918.76</v>
      </c>
      <c r="L1106" s="517"/>
    </row>
    <row r="1107" spans="1:12" ht="12.75">
      <c r="A1107" s="86"/>
      <c r="B1107" s="86"/>
      <c r="C1107" s="83"/>
      <c r="D1107" s="82"/>
      <c r="E1107" s="87"/>
      <c r="F1107" s="200" t="s">
        <v>1550</v>
      </c>
      <c r="G1107" s="536">
        <v>413100</v>
      </c>
      <c r="H1107" s="245" t="s">
        <v>824</v>
      </c>
      <c r="I1107" s="435">
        <v>1100000</v>
      </c>
      <c r="J1107" s="435">
        <v>1100000</v>
      </c>
      <c r="K1107" s="435">
        <v>535918.76</v>
      </c>
      <c r="L1107" s="517"/>
    </row>
    <row r="1108" spans="1:12" s="22" customFormat="1" ht="13.5">
      <c r="A1108" s="88"/>
      <c r="B1108" s="88"/>
      <c r="C1108" s="83"/>
      <c r="D1108" s="82"/>
      <c r="E1108" s="89"/>
      <c r="F1108" s="257">
        <v>944</v>
      </c>
      <c r="G1108" s="54">
        <v>414000</v>
      </c>
      <c r="H1108" s="20" t="s">
        <v>792</v>
      </c>
      <c r="I1108" s="434">
        <f>I1109</f>
        <v>50000</v>
      </c>
      <c r="J1108" s="434">
        <f>J1109</f>
        <v>50000</v>
      </c>
      <c r="K1108" s="434">
        <f>K1109</f>
        <v>0</v>
      </c>
      <c r="L1108" s="517"/>
    </row>
    <row r="1109" spans="1:12" ht="12.75">
      <c r="A1109" s="86"/>
      <c r="B1109" s="86"/>
      <c r="C1109" s="83"/>
      <c r="D1109" s="82"/>
      <c r="E1109" s="87"/>
      <c r="F1109" s="200" t="s">
        <v>1551</v>
      </c>
      <c r="G1109" s="35">
        <v>414300</v>
      </c>
      <c r="H1109" s="4" t="s">
        <v>893</v>
      </c>
      <c r="I1109" s="435">
        <v>50000</v>
      </c>
      <c r="J1109" s="435">
        <v>50000</v>
      </c>
      <c r="K1109" s="435">
        <v>0</v>
      </c>
      <c r="L1109" s="517"/>
    </row>
    <row r="1110" spans="1:12" s="22" customFormat="1" ht="13.5">
      <c r="A1110" s="88"/>
      <c r="B1110" s="88"/>
      <c r="C1110" s="83"/>
      <c r="D1110" s="82"/>
      <c r="E1110" s="89"/>
      <c r="F1110" s="257">
        <v>945</v>
      </c>
      <c r="G1110" s="535">
        <v>415000</v>
      </c>
      <c r="H1110" s="242" t="s">
        <v>852</v>
      </c>
      <c r="I1110" s="454">
        <f>I1111</f>
        <v>3200000</v>
      </c>
      <c r="J1110" s="454">
        <f>J1111</f>
        <v>3200000</v>
      </c>
      <c r="K1110" s="454">
        <f>K1111</f>
        <v>1407257.01</v>
      </c>
      <c r="L1110" s="517"/>
    </row>
    <row r="1111" spans="1:12" ht="12.75">
      <c r="A1111" s="86"/>
      <c r="B1111" s="86"/>
      <c r="C1111" s="83"/>
      <c r="D1111" s="82"/>
      <c r="E1111" s="87"/>
      <c r="F1111" s="200" t="s">
        <v>1552</v>
      </c>
      <c r="G1111" s="536">
        <v>415100</v>
      </c>
      <c r="H1111" s="245" t="s">
        <v>852</v>
      </c>
      <c r="I1111" s="455">
        <v>3200000</v>
      </c>
      <c r="J1111" s="455">
        <v>3200000</v>
      </c>
      <c r="K1111" s="455">
        <v>1407257.01</v>
      </c>
      <c r="L1111" s="517"/>
    </row>
    <row r="1112" spans="1:12" s="22" customFormat="1" ht="13.5">
      <c r="A1112" s="88"/>
      <c r="B1112" s="88"/>
      <c r="C1112" s="83"/>
      <c r="D1112" s="82"/>
      <c r="E1112" s="89"/>
      <c r="F1112" s="257">
        <v>946</v>
      </c>
      <c r="G1112" s="54">
        <v>416000</v>
      </c>
      <c r="H1112" s="20" t="s">
        <v>853</v>
      </c>
      <c r="I1112" s="434">
        <f>I1113</f>
        <v>1050000</v>
      </c>
      <c r="J1112" s="434">
        <f>J1113</f>
        <v>1050000</v>
      </c>
      <c r="K1112" s="434">
        <f>K1113</f>
        <v>600656.5</v>
      </c>
      <c r="L1112" s="517"/>
    </row>
    <row r="1113" spans="1:12" ht="12.75">
      <c r="A1113" s="86"/>
      <c r="B1113" s="86"/>
      <c r="C1113" s="83"/>
      <c r="D1113" s="82"/>
      <c r="E1113" s="87"/>
      <c r="F1113" s="200" t="s">
        <v>1553</v>
      </c>
      <c r="G1113" s="35">
        <v>416100</v>
      </c>
      <c r="H1113" s="4" t="s">
        <v>853</v>
      </c>
      <c r="I1113" s="435">
        <v>1050000</v>
      </c>
      <c r="J1113" s="435">
        <v>1050000</v>
      </c>
      <c r="K1113" s="435">
        <v>600656.5</v>
      </c>
      <c r="L1113" s="517"/>
    </row>
    <row r="1114" spans="1:12" s="22" customFormat="1" ht="13.5">
      <c r="A1114" s="88"/>
      <c r="B1114" s="88"/>
      <c r="C1114" s="83"/>
      <c r="D1114" s="82"/>
      <c r="E1114" s="89"/>
      <c r="F1114" s="257">
        <v>947</v>
      </c>
      <c r="G1114" s="54">
        <v>421000</v>
      </c>
      <c r="H1114" s="20" t="s">
        <v>799</v>
      </c>
      <c r="I1114" s="434">
        <f>I1115+I1116+I1117+I1118+I1119</f>
        <v>1895000</v>
      </c>
      <c r="J1114" s="434">
        <f>J1115+J1116+J1117+J1118+J1119</f>
        <v>1895000</v>
      </c>
      <c r="K1114" s="434">
        <f>K1118+K1117+K1116+K1115+K1119</f>
        <v>896089.9400000001</v>
      </c>
      <c r="L1114" s="517"/>
    </row>
    <row r="1115" spans="1:12" ht="12.75">
      <c r="A1115" s="86"/>
      <c r="B1115" s="86"/>
      <c r="C1115" s="83"/>
      <c r="D1115" s="82"/>
      <c r="E1115" s="87"/>
      <c r="F1115" s="200" t="s">
        <v>1554</v>
      </c>
      <c r="G1115" s="35">
        <v>421100</v>
      </c>
      <c r="H1115" s="4" t="s">
        <v>894</v>
      </c>
      <c r="I1115" s="435">
        <v>200000</v>
      </c>
      <c r="J1115" s="435">
        <v>200000</v>
      </c>
      <c r="K1115" s="435">
        <v>96949.14</v>
      </c>
      <c r="L1115" s="517"/>
    </row>
    <row r="1116" spans="1:12" ht="12.75">
      <c r="A1116" s="82"/>
      <c r="B1116" s="82"/>
      <c r="C1116" s="83"/>
      <c r="D1116" s="82"/>
      <c r="E1116" s="83"/>
      <c r="F1116" s="257">
        <v>948</v>
      </c>
      <c r="G1116" s="35">
        <v>421200</v>
      </c>
      <c r="H1116" s="4" t="s">
        <v>920</v>
      </c>
      <c r="I1116" s="435">
        <v>850000</v>
      </c>
      <c r="J1116" s="435">
        <v>850000</v>
      </c>
      <c r="K1116" s="435">
        <v>525753.29</v>
      </c>
      <c r="L1116" s="517"/>
    </row>
    <row r="1117" spans="1:12" ht="12.75">
      <c r="A1117" s="82"/>
      <c r="B1117" s="82"/>
      <c r="C1117" s="83"/>
      <c r="D1117" s="82"/>
      <c r="E1117" s="83"/>
      <c r="F1117" s="200" t="s">
        <v>1555</v>
      </c>
      <c r="G1117" s="524">
        <v>421300</v>
      </c>
      <c r="H1117" s="5" t="s">
        <v>896</v>
      </c>
      <c r="I1117" s="435">
        <v>640000</v>
      </c>
      <c r="J1117" s="435">
        <v>640000</v>
      </c>
      <c r="K1117" s="435">
        <v>224639.14</v>
      </c>
      <c r="L1117" s="517"/>
    </row>
    <row r="1118" spans="1:12" ht="12.75">
      <c r="A1118" s="82"/>
      <c r="B1118" s="82"/>
      <c r="C1118" s="83"/>
      <c r="D1118" s="82"/>
      <c r="E1118" s="83"/>
      <c r="F1118" s="257">
        <v>949</v>
      </c>
      <c r="G1118" s="35">
        <v>421400</v>
      </c>
      <c r="H1118" s="5" t="s">
        <v>883</v>
      </c>
      <c r="I1118" s="435">
        <v>130000</v>
      </c>
      <c r="J1118" s="435">
        <v>130000</v>
      </c>
      <c r="K1118" s="435">
        <v>48748.37</v>
      </c>
      <c r="L1118" s="517"/>
    </row>
    <row r="1119" spans="1:12" ht="12.75">
      <c r="A1119" s="82"/>
      <c r="B1119" s="82"/>
      <c r="C1119" s="83"/>
      <c r="D1119" s="82"/>
      <c r="E1119" s="83"/>
      <c r="F1119" s="200" t="s">
        <v>1556</v>
      </c>
      <c r="G1119" s="35">
        <v>421500</v>
      </c>
      <c r="H1119" s="4" t="s">
        <v>897</v>
      </c>
      <c r="I1119" s="435">
        <v>75000</v>
      </c>
      <c r="J1119" s="435">
        <v>75000</v>
      </c>
      <c r="K1119" s="435">
        <v>0</v>
      </c>
      <c r="L1119" s="517"/>
    </row>
    <row r="1120" spans="1:12" s="22" customFormat="1" ht="13.5">
      <c r="A1120" s="88"/>
      <c r="B1120" s="88"/>
      <c r="C1120" s="83"/>
      <c r="D1120" s="82"/>
      <c r="E1120" s="89"/>
      <c r="F1120" s="257">
        <v>950</v>
      </c>
      <c r="G1120" s="54">
        <v>422000</v>
      </c>
      <c r="H1120" s="20" t="s">
        <v>793</v>
      </c>
      <c r="I1120" s="434">
        <f>I1121+I1122</f>
        <v>3010000</v>
      </c>
      <c r="J1120" s="434">
        <f>J1121+J1122</f>
        <v>3010000</v>
      </c>
      <c r="K1120" s="434">
        <f>K1121+K1122</f>
        <v>1293662</v>
      </c>
      <c r="L1120" s="517"/>
    </row>
    <row r="1121" spans="1:12" ht="12.75">
      <c r="A1121" s="86"/>
      <c r="B1121" s="86"/>
      <c r="C1121" s="83"/>
      <c r="D1121" s="82"/>
      <c r="E1121" s="87"/>
      <c r="F1121" s="200" t="s">
        <v>1557</v>
      </c>
      <c r="G1121" s="35">
        <v>422100</v>
      </c>
      <c r="H1121" s="4" t="s">
        <v>899</v>
      </c>
      <c r="I1121" s="435">
        <v>10000</v>
      </c>
      <c r="J1121" s="435">
        <v>10000</v>
      </c>
      <c r="K1121" s="435">
        <v>0</v>
      </c>
      <c r="L1121" s="517"/>
    </row>
    <row r="1122" spans="1:13" ht="12.75">
      <c r="A1122" s="82"/>
      <c r="B1122" s="82"/>
      <c r="C1122" s="83"/>
      <c r="D1122" s="82"/>
      <c r="E1122" s="83"/>
      <c r="F1122" s="257">
        <v>951</v>
      </c>
      <c r="G1122" s="35">
        <v>422400</v>
      </c>
      <c r="H1122" s="4" t="s">
        <v>921</v>
      </c>
      <c r="I1122" s="435">
        <v>3000000</v>
      </c>
      <c r="J1122" s="435">
        <v>3000000</v>
      </c>
      <c r="K1122" s="435">
        <v>1293662</v>
      </c>
      <c r="L1122" s="517"/>
      <c r="M1122" s="515"/>
    </row>
    <row r="1123" spans="1:12" s="22" customFormat="1" ht="13.5">
      <c r="A1123" s="88"/>
      <c r="B1123" s="88"/>
      <c r="C1123" s="83"/>
      <c r="D1123" s="82"/>
      <c r="E1123" s="89"/>
      <c r="F1123" s="200" t="s">
        <v>1558</v>
      </c>
      <c r="G1123" s="54">
        <v>423000</v>
      </c>
      <c r="H1123" s="20" t="s">
        <v>794</v>
      </c>
      <c r="I1123" s="434">
        <f>I1124</f>
        <v>70000</v>
      </c>
      <c r="J1123" s="434">
        <f>J1124</f>
        <v>70000</v>
      </c>
      <c r="K1123" s="434">
        <f>K1124</f>
        <v>50478</v>
      </c>
      <c r="L1123" s="517"/>
    </row>
    <row r="1124" spans="1:12" ht="12.75">
      <c r="A1124" s="86"/>
      <c r="B1124" s="86"/>
      <c r="C1124" s="83"/>
      <c r="D1124" s="82"/>
      <c r="E1124" s="87"/>
      <c r="F1124" s="257">
        <v>952</v>
      </c>
      <c r="G1124" s="524">
        <v>423300</v>
      </c>
      <c r="H1124" s="5" t="s">
        <v>902</v>
      </c>
      <c r="I1124" s="435">
        <v>70000</v>
      </c>
      <c r="J1124" s="435">
        <v>70000</v>
      </c>
      <c r="K1124" s="435">
        <v>50478</v>
      </c>
      <c r="L1124" s="517"/>
    </row>
    <row r="1125" spans="1:12" s="22" customFormat="1" ht="13.5">
      <c r="A1125" s="88"/>
      <c r="B1125" s="88"/>
      <c r="C1125" s="83"/>
      <c r="D1125" s="82"/>
      <c r="E1125" s="89"/>
      <c r="F1125" s="200" t="s">
        <v>1559</v>
      </c>
      <c r="G1125" s="528">
        <v>424000</v>
      </c>
      <c r="H1125" s="20" t="s">
        <v>800</v>
      </c>
      <c r="I1125" s="434">
        <f>I1126</f>
        <v>30000</v>
      </c>
      <c r="J1125" s="434">
        <f>J1126</f>
        <v>30000</v>
      </c>
      <c r="K1125" s="434">
        <f>+K1126</f>
        <v>14400</v>
      </c>
      <c r="L1125" s="517"/>
    </row>
    <row r="1126" spans="1:12" ht="12.75">
      <c r="A1126" s="86"/>
      <c r="B1126" s="86"/>
      <c r="C1126" s="83"/>
      <c r="D1126" s="82"/>
      <c r="E1126" s="87"/>
      <c r="F1126" s="257">
        <v>953</v>
      </c>
      <c r="G1126" s="524" t="s">
        <v>615</v>
      </c>
      <c r="H1126" s="240" t="s">
        <v>590</v>
      </c>
      <c r="I1126" s="435">
        <v>30000</v>
      </c>
      <c r="J1126" s="435">
        <v>30000</v>
      </c>
      <c r="K1126" s="435">
        <v>14400</v>
      </c>
      <c r="L1126" s="517"/>
    </row>
    <row r="1127" spans="1:12" s="22" customFormat="1" ht="13.5">
      <c r="A1127" s="88"/>
      <c r="B1127" s="88"/>
      <c r="C1127" s="83"/>
      <c r="D1127" s="82"/>
      <c r="E1127" s="89"/>
      <c r="F1127" s="200" t="s">
        <v>1560</v>
      </c>
      <c r="G1127" s="528">
        <v>425000</v>
      </c>
      <c r="H1127" s="20" t="s">
        <v>797</v>
      </c>
      <c r="I1127" s="434">
        <f>I1128+I1129</f>
        <v>13280000</v>
      </c>
      <c r="J1127" s="434">
        <f>J1128+J1129</f>
        <v>13280000</v>
      </c>
      <c r="K1127" s="434">
        <f>K1128+K1129</f>
        <v>7152027.11</v>
      </c>
      <c r="L1127" s="517"/>
    </row>
    <row r="1128" spans="1:12" ht="12.75">
      <c r="A1128" s="86"/>
      <c r="B1128" s="86"/>
      <c r="C1128" s="83"/>
      <c r="D1128" s="82"/>
      <c r="E1128" s="87"/>
      <c r="F1128" s="257">
        <v>954</v>
      </c>
      <c r="G1128" s="524">
        <v>425100</v>
      </c>
      <c r="H1128" s="4" t="s">
        <v>909</v>
      </c>
      <c r="I1128" s="435">
        <v>13000000</v>
      </c>
      <c r="J1128" s="658">
        <v>13000000</v>
      </c>
      <c r="K1128" s="435">
        <v>7104645.11</v>
      </c>
      <c r="L1128" s="517"/>
    </row>
    <row r="1129" spans="1:12" ht="12.75">
      <c r="A1129" s="82"/>
      <c r="B1129" s="82"/>
      <c r="C1129" s="83"/>
      <c r="D1129" s="82"/>
      <c r="E1129" s="83"/>
      <c r="F1129" s="200" t="s">
        <v>1561</v>
      </c>
      <c r="G1129" s="524">
        <v>425200</v>
      </c>
      <c r="H1129" s="4" t="s">
        <v>910</v>
      </c>
      <c r="I1129" s="435">
        <v>280000</v>
      </c>
      <c r="J1129" s="435">
        <v>280000</v>
      </c>
      <c r="K1129" s="435">
        <v>47382</v>
      </c>
      <c r="L1129" s="517"/>
    </row>
    <row r="1130" spans="1:12" s="22" customFormat="1" ht="13.5">
      <c r="A1130" s="88"/>
      <c r="B1130" s="88"/>
      <c r="C1130" s="83"/>
      <c r="D1130" s="82"/>
      <c r="E1130" s="89"/>
      <c r="F1130" s="257">
        <v>955</v>
      </c>
      <c r="G1130" s="528">
        <v>426000</v>
      </c>
      <c r="H1130" s="20" t="s">
        <v>795</v>
      </c>
      <c r="I1130" s="434">
        <f>I1131+I1132+I1133+I1134</f>
        <v>450000</v>
      </c>
      <c r="J1130" s="434">
        <f>J1131+J1132+J1133+J1134</f>
        <v>450000</v>
      </c>
      <c r="K1130" s="434">
        <f>K1131+K1132+K1133+K1134</f>
        <v>213967.94</v>
      </c>
      <c r="L1130" s="517"/>
    </row>
    <row r="1131" spans="1:12" ht="12.75">
      <c r="A1131" s="86"/>
      <c r="B1131" s="86"/>
      <c r="C1131" s="83"/>
      <c r="D1131" s="82"/>
      <c r="E1131" s="87"/>
      <c r="F1131" s="200" t="s">
        <v>1562</v>
      </c>
      <c r="G1131" s="524">
        <v>426100</v>
      </c>
      <c r="H1131" s="4" t="s">
        <v>911</v>
      </c>
      <c r="I1131" s="435">
        <v>100000</v>
      </c>
      <c r="J1131" s="435">
        <v>100000</v>
      </c>
      <c r="K1131" s="435">
        <v>84361</v>
      </c>
      <c r="L1131" s="517"/>
    </row>
    <row r="1132" spans="1:12" ht="12.75">
      <c r="A1132" s="82"/>
      <c r="B1132" s="82"/>
      <c r="C1132" s="83"/>
      <c r="D1132" s="82"/>
      <c r="E1132" s="83"/>
      <c r="F1132" s="257">
        <v>956</v>
      </c>
      <c r="G1132" s="524">
        <v>426300</v>
      </c>
      <c r="H1132" s="5" t="s">
        <v>922</v>
      </c>
      <c r="I1132" s="435">
        <v>100000</v>
      </c>
      <c r="J1132" s="435">
        <v>100000</v>
      </c>
      <c r="K1132" s="435">
        <v>30102.78</v>
      </c>
      <c r="L1132" s="517"/>
    </row>
    <row r="1133" spans="1:12" ht="12.75">
      <c r="A1133" s="82"/>
      <c r="B1133" s="82"/>
      <c r="C1133" s="83"/>
      <c r="D1133" s="82"/>
      <c r="E1133" s="83"/>
      <c r="F1133" s="200" t="s">
        <v>1563</v>
      </c>
      <c r="G1133" s="524">
        <v>426600</v>
      </c>
      <c r="H1133" s="5" t="s">
        <v>923</v>
      </c>
      <c r="I1133" s="435">
        <v>150000</v>
      </c>
      <c r="J1133" s="435">
        <v>150000</v>
      </c>
      <c r="K1133" s="435">
        <v>44996.76</v>
      </c>
      <c r="L1133" s="517"/>
    </row>
    <row r="1134" spans="1:12" ht="12.75">
      <c r="A1134" s="82"/>
      <c r="B1134" s="82"/>
      <c r="C1134" s="83"/>
      <c r="D1134" s="82"/>
      <c r="E1134" s="83"/>
      <c r="F1134" s="257">
        <v>957</v>
      </c>
      <c r="G1134" s="524">
        <v>426800</v>
      </c>
      <c r="H1134" s="5" t="s">
        <v>913</v>
      </c>
      <c r="I1134" s="435">
        <v>100000</v>
      </c>
      <c r="J1134" s="435">
        <v>100000</v>
      </c>
      <c r="K1134" s="435">
        <v>54507.4</v>
      </c>
      <c r="L1134" s="517"/>
    </row>
    <row r="1135" spans="1:12" s="22" customFormat="1" ht="13.5">
      <c r="A1135" s="88"/>
      <c r="B1135" s="88"/>
      <c r="C1135" s="83"/>
      <c r="D1135" s="82"/>
      <c r="E1135" s="89"/>
      <c r="F1135" s="200" t="s">
        <v>1564</v>
      </c>
      <c r="G1135" s="54">
        <v>482000</v>
      </c>
      <c r="H1135" s="23" t="s">
        <v>859</v>
      </c>
      <c r="I1135" s="434">
        <f>I1136</f>
        <v>10000</v>
      </c>
      <c r="J1135" s="434">
        <f>J1136</f>
        <v>10000</v>
      </c>
      <c r="K1135" s="434">
        <f>K1136</f>
        <v>0</v>
      </c>
      <c r="L1135" s="517"/>
    </row>
    <row r="1136" spans="1:12" ht="12.75">
      <c r="A1136" s="86"/>
      <c r="B1136" s="86"/>
      <c r="C1136" s="83"/>
      <c r="D1136" s="82"/>
      <c r="E1136" s="87"/>
      <c r="F1136" s="257">
        <v>958</v>
      </c>
      <c r="G1136" s="35">
        <v>482200</v>
      </c>
      <c r="H1136" s="52" t="s">
        <v>914</v>
      </c>
      <c r="I1136" s="435">
        <v>10000</v>
      </c>
      <c r="J1136" s="435">
        <v>10000</v>
      </c>
      <c r="K1136" s="435">
        <v>0</v>
      </c>
      <c r="L1136" s="517"/>
    </row>
    <row r="1137" spans="1:12" ht="13.5">
      <c r="A1137" s="86"/>
      <c r="B1137" s="86"/>
      <c r="C1137" s="83"/>
      <c r="D1137" s="82"/>
      <c r="E1137" s="87"/>
      <c r="F1137" s="257"/>
      <c r="G1137" s="54" t="s">
        <v>521</v>
      </c>
      <c r="H1137" s="23" t="s">
        <v>717</v>
      </c>
      <c r="I1137" s="434">
        <f>I1138</f>
        <v>3060000</v>
      </c>
      <c r="J1137" s="434">
        <f>J1138</f>
        <v>3060000</v>
      </c>
      <c r="K1137" s="434">
        <f>K1138</f>
        <v>918531.05</v>
      </c>
      <c r="L1137" s="517"/>
    </row>
    <row r="1138" spans="1:12" ht="12.75">
      <c r="A1138" s="86"/>
      <c r="B1138" s="86"/>
      <c r="C1138" s="83"/>
      <c r="D1138" s="82"/>
      <c r="E1138" s="87"/>
      <c r="F1138" s="257"/>
      <c r="G1138" s="35" t="s">
        <v>613</v>
      </c>
      <c r="H1138" s="5" t="s">
        <v>718</v>
      </c>
      <c r="I1138" s="435">
        <v>3060000</v>
      </c>
      <c r="J1138" s="435">
        <v>3060000</v>
      </c>
      <c r="K1138" s="435">
        <v>918531.05</v>
      </c>
      <c r="L1138" s="517"/>
    </row>
    <row r="1139" spans="1:12" ht="12.75" customHeight="1" thickBot="1">
      <c r="A1139" s="86"/>
      <c r="B1139" s="86"/>
      <c r="C1139" s="83"/>
      <c r="D1139" s="82"/>
      <c r="E1139" s="87"/>
      <c r="F1139" s="523"/>
      <c r="G1139" s="524"/>
      <c r="H1139" s="725"/>
      <c r="I1139" s="435"/>
      <c r="J1139" s="435"/>
      <c r="K1139" s="435"/>
      <c r="L1139" s="517"/>
    </row>
    <row r="1140" spans="1:12" s="36" customFormat="1" ht="12.75" customHeight="1" thickBot="1">
      <c r="A1140" s="82"/>
      <c r="B1140" s="82"/>
      <c r="C1140" s="83"/>
      <c r="D1140" s="82"/>
      <c r="E1140" s="83"/>
      <c r="F1140" s="200"/>
      <c r="G1140" s="524"/>
      <c r="H1140" s="551" t="s">
        <v>839</v>
      </c>
      <c r="I1140" s="481">
        <f>I1106+I1108+I1110+I1112+I1114+I1120+I1123+I1125+I1127+I1130+I1135+I1137</f>
        <v>27205000</v>
      </c>
      <c r="J1140" s="481">
        <f>J1106+J1108+J1110+J1112+J1114+J1120+J1123+J1125+J1127+J1130+J1135+J1137</f>
        <v>27205000</v>
      </c>
      <c r="K1140" s="603">
        <f>K1106+K1108+K1110+K1112+K1114+K1120+K1123+K1125+K1127+K1130+K1135+K1137</f>
        <v>13082988.31</v>
      </c>
      <c r="L1140" s="605"/>
    </row>
    <row r="1141" spans="1:12" s="36" customFormat="1" ht="12.75" customHeight="1">
      <c r="A1141" s="86"/>
      <c r="B1141" s="86"/>
      <c r="C1141" s="83"/>
      <c r="D1141" s="82"/>
      <c r="E1141" s="87"/>
      <c r="F1141" s="200"/>
      <c r="G1141" s="35"/>
      <c r="H1141" s="99"/>
      <c r="I1141" s="435"/>
      <c r="J1141" s="435"/>
      <c r="K1141" s="435"/>
      <c r="L1141" s="517"/>
    </row>
    <row r="1142" spans="1:12" ht="12.75" customHeight="1">
      <c r="A1142" s="86"/>
      <c r="B1142" s="86"/>
      <c r="C1142" s="83"/>
      <c r="D1142" s="82"/>
      <c r="E1142" s="87"/>
      <c r="F1142" s="200"/>
      <c r="G1142" s="524"/>
      <c r="H1142" s="6"/>
      <c r="I1142" s="435"/>
      <c r="J1142" s="435"/>
      <c r="K1142" s="435"/>
      <c r="L1142" s="517"/>
    </row>
    <row r="1143" spans="1:12" ht="12.75">
      <c r="A1143" s="86"/>
      <c r="B1143" s="86"/>
      <c r="C1143" s="83"/>
      <c r="D1143" s="82"/>
      <c r="E1143" s="87"/>
      <c r="F1143" s="200"/>
      <c r="G1143" s="524"/>
      <c r="H1143" s="6"/>
      <c r="I1143" s="435"/>
      <c r="J1143" s="435"/>
      <c r="K1143" s="435"/>
      <c r="L1143" s="517"/>
    </row>
    <row r="1144" spans="1:12" s="22" customFormat="1" ht="12.75" customHeight="1">
      <c r="A1144" s="100"/>
      <c r="B1144" s="100"/>
      <c r="C1144" s="217"/>
      <c r="D1144" s="268" t="s">
        <v>544</v>
      </c>
      <c r="E1144" s="101"/>
      <c r="F1144" s="199"/>
      <c r="G1144" s="543"/>
      <c r="H1144" s="102" t="s">
        <v>542</v>
      </c>
      <c r="I1144" s="468"/>
      <c r="J1144" s="468"/>
      <c r="K1144" s="468"/>
      <c r="L1144" s="517"/>
    </row>
    <row r="1145" spans="1:12" s="22" customFormat="1" ht="17.25" customHeight="1">
      <c r="A1145" s="88"/>
      <c r="B1145" s="117"/>
      <c r="C1145" s="218"/>
      <c r="D1145" s="269" t="s">
        <v>545</v>
      </c>
      <c r="E1145" s="118"/>
      <c r="F1145" s="203"/>
      <c r="G1145" s="544"/>
      <c r="H1145" s="131" t="s">
        <v>543</v>
      </c>
      <c r="I1145" s="469"/>
      <c r="J1145" s="469"/>
      <c r="K1145" s="469"/>
      <c r="L1145" s="517"/>
    </row>
    <row r="1146" spans="1:12" s="22" customFormat="1" ht="12.75">
      <c r="A1146" s="88"/>
      <c r="B1146" s="88"/>
      <c r="C1146" s="83"/>
      <c r="D1146" s="270"/>
      <c r="E1146" s="89" t="s">
        <v>687</v>
      </c>
      <c r="F1146" s="200"/>
      <c r="G1146" s="527"/>
      <c r="H1146" s="122" t="s">
        <v>691</v>
      </c>
      <c r="I1146" s="461"/>
      <c r="J1146" s="461"/>
      <c r="K1146" s="461"/>
      <c r="L1146" s="517"/>
    </row>
    <row r="1147" spans="1:12" s="22" customFormat="1" ht="13.5">
      <c r="A1147" s="88"/>
      <c r="B1147" s="88"/>
      <c r="C1147" s="83"/>
      <c r="D1147" s="270"/>
      <c r="E1147" s="89"/>
      <c r="F1147" s="200" t="s">
        <v>1565</v>
      </c>
      <c r="G1147" s="535">
        <v>413000</v>
      </c>
      <c r="H1147" s="242" t="s">
        <v>824</v>
      </c>
      <c r="I1147" s="454">
        <f>I1148</f>
        <v>780000</v>
      </c>
      <c r="J1147" s="454">
        <f>J1148</f>
        <v>780000</v>
      </c>
      <c r="K1147" s="454">
        <f>K1148</f>
        <v>304110.95</v>
      </c>
      <c r="L1147" s="517"/>
    </row>
    <row r="1148" spans="1:12" ht="12.75">
      <c r="A1148" s="86"/>
      <c r="B1148" s="86"/>
      <c r="C1148" s="83"/>
      <c r="D1148" s="270"/>
      <c r="E1148" s="87"/>
      <c r="F1148" s="200" t="s">
        <v>1566</v>
      </c>
      <c r="G1148" s="536">
        <v>413100</v>
      </c>
      <c r="H1148" s="245" t="s">
        <v>824</v>
      </c>
      <c r="I1148" s="435">
        <v>780000</v>
      </c>
      <c r="J1148" s="435">
        <v>780000</v>
      </c>
      <c r="K1148" s="435">
        <v>304110.95</v>
      </c>
      <c r="L1148" s="517"/>
    </row>
    <row r="1149" spans="1:12" s="22" customFormat="1" ht="13.5">
      <c r="A1149" s="88"/>
      <c r="B1149" s="88"/>
      <c r="C1149" s="83"/>
      <c r="D1149" s="270"/>
      <c r="E1149" s="89"/>
      <c r="F1149" s="200" t="s">
        <v>1567</v>
      </c>
      <c r="G1149" s="535">
        <v>415000</v>
      </c>
      <c r="H1149" s="242" t="s">
        <v>852</v>
      </c>
      <c r="I1149" s="454">
        <f>I1150</f>
        <v>2500000</v>
      </c>
      <c r="J1149" s="454">
        <f>J1150</f>
        <v>2500000</v>
      </c>
      <c r="K1149" s="454">
        <f>K1150</f>
        <v>1016399.39</v>
      </c>
      <c r="L1149" s="517"/>
    </row>
    <row r="1150" spans="1:12" ht="12.75">
      <c r="A1150" s="86"/>
      <c r="B1150" s="86"/>
      <c r="C1150" s="83"/>
      <c r="D1150" s="270"/>
      <c r="E1150" s="87"/>
      <c r="F1150" s="200" t="s">
        <v>1568</v>
      </c>
      <c r="G1150" s="536">
        <v>415100</v>
      </c>
      <c r="H1150" s="245" t="s">
        <v>852</v>
      </c>
      <c r="I1150" s="455">
        <v>2500000</v>
      </c>
      <c r="J1150" s="455">
        <v>2500000</v>
      </c>
      <c r="K1150" s="455">
        <v>1016399.39</v>
      </c>
      <c r="L1150" s="517"/>
    </row>
    <row r="1151" spans="1:12" s="22" customFormat="1" ht="13.5">
      <c r="A1151" s="88"/>
      <c r="B1151" s="88"/>
      <c r="C1151" s="83"/>
      <c r="D1151" s="270"/>
      <c r="E1151" s="89"/>
      <c r="F1151" s="200" t="s">
        <v>1569</v>
      </c>
      <c r="G1151" s="54">
        <v>416000</v>
      </c>
      <c r="H1151" s="20" t="s">
        <v>853</v>
      </c>
      <c r="I1151" s="434">
        <f>I1152</f>
        <v>660000</v>
      </c>
      <c r="J1151" s="434">
        <f>J1152</f>
        <v>660000</v>
      </c>
      <c r="K1151" s="434">
        <f>K1152</f>
        <v>271115.88</v>
      </c>
      <c r="L1151" s="517"/>
    </row>
    <row r="1152" spans="1:13" ht="12.75">
      <c r="A1152" s="86"/>
      <c r="B1152" s="86"/>
      <c r="C1152" s="83"/>
      <c r="D1152" s="270"/>
      <c r="E1152" s="87"/>
      <c r="F1152" s="200" t="s">
        <v>1570</v>
      </c>
      <c r="G1152" s="35">
        <v>416100</v>
      </c>
      <c r="H1152" s="4" t="s">
        <v>853</v>
      </c>
      <c r="I1152" s="435">
        <v>660000</v>
      </c>
      <c r="J1152" s="435">
        <v>660000</v>
      </c>
      <c r="K1152" s="435">
        <v>271115.88</v>
      </c>
      <c r="L1152" s="517"/>
      <c r="M1152" s="515"/>
    </row>
    <row r="1153" spans="1:12" s="22" customFormat="1" ht="13.5">
      <c r="A1153" s="88"/>
      <c r="B1153" s="88"/>
      <c r="C1153" s="83"/>
      <c r="D1153" s="270"/>
      <c r="E1153" s="89"/>
      <c r="F1153" s="200" t="s">
        <v>1571</v>
      </c>
      <c r="G1153" s="54">
        <v>421000</v>
      </c>
      <c r="H1153" s="20" t="s">
        <v>799</v>
      </c>
      <c r="I1153" s="434">
        <f>I1154+I1155+I1156+I1157+I1158</f>
        <v>2170000</v>
      </c>
      <c r="J1153" s="434">
        <f>J1154+J1155+J1156+J1157+J1158</f>
        <v>2170000</v>
      </c>
      <c r="K1153" s="434">
        <f>K1154+K1155+K1156+K1157+K1158</f>
        <v>740869.93</v>
      </c>
      <c r="L1153" s="517"/>
    </row>
    <row r="1154" spans="1:12" ht="12.75">
      <c r="A1154" s="86"/>
      <c r="B1154" s="86"/>
      <c r="C1154" s="83"/>
      <c r="D1154" s="270"/>
      <c r="E1154" s="87"/>
      <c r="F1154" s="200" t="s">
        <v>1572</v>
      </c>
      <c r="G1154" s="35">
        <v>421100</v>
      </c>
      <c r="H1154" s="4" t="s">
        <v>894</v>
      </c>
      <c r="I1154" s="435">
        <v>120000</v>
      </c>
      <c r="J1154" s="435">
        <v>120000</v>
      </c>
      <c r="K1154" s="435">
        <v>67000</v>
      </c>
      <c r="L1154" s="517"/>
    </row>
    <row r="1155" spans="1:12" ht="12.75">
      <c r="A1155" s="82"/>
      <c r="B1155" s="82"/>
      <c r="C1155" s="83"/>
      <c r="D1155" s="270"/>
      <c r="E1155" s="83"/>
      <c r="F1155" s="200" t="s">
        <v>1573</v>
      </c>
      <c r="G1155" s="35">
        <v>421200</v>
      </c>
      <c r="H1155" s="4" t="s">
        <v>920</v>
      </c>
      <c r="I1155" s="435">
        <v>1450000</v>
      </c>
      <c r="J1155" s="435">
        <v>1450000</v>
      </c>
      <c r="K1155" s="435">
        <v>469206.33</v>
      </c>
      <c r="L1155" s="517"/>
    </row>
    <row r="1156" spans="1:12" ht="12.75">
      <c r="A1156" s="82"/>
      <c r="B1156" s="82"/>
      <c r="C1156" s="83"/>
      <c r="D1156" s="270"/>
      <c r="E1156" s="83"/>
      <c r="F1156" s="200" t="s">
        <v>1574</v>
      </c>
      <c r="G1156" s="524">
        <v>421300</v>
      </c>
      <c r="H1156" s="5" t="s">
        <v>896</v>
      </c>
      <c r="I1156" s="435">
        <v>400000</v>
      </c>
      <c r="J1156" s="435">
        <v>400000</v>
      </c>
      <c r="K1156" s="435">
        <v>140012.23</v>
      </c>
      <c r="L1156" s="517"/>
    </row>
    <row r="1157" spans="1:12" ht="12.75">
      <c r="A1157" s="82"/>
      <c r="B1157" s="82"/>
      <c r="C1157" s="83"/>
      <c r="D1157" s="270"/>
      <c r="E1157" s="83"/>
      <c r="F1157" s="200" t="s">
        <v>1575</v>
      </c>
      <c r="G1157" s="35">
        <v>421400</v>
      </c>
      <c r="H1157" s="5" t="s">
        <v>883</v>
      </c>
      <c r="I1157" s="435">
        <v>100000</v>
      </c>
      <c r="J1157" s="435">
        <v>100000</v>
      </c>
      <c r="K1157" s="435">
        <v>37231.25</v>
      </c>
      <c r="L1157" s="517"/>
    </row>
    <row r="1158" spans="1:12" ht="12.75">
      <c r="A1158" s="82"/>
      <c r="B1158" s="82"/>
      <c r="C1158" s="83"/>
      <c r="D1158" s="270"/>
      <c r="E1158" s="83"/>
      <c r="F1158" s="200" t="s">
        <v>1576</v>
      </c>
      <c r="G1158" s="35">
        <v>421500</v>
      </c>
      <c r="H1158" s="4" t="s">
        <v>897</v>
      </c>
      <c r="I1158" s="435">
        <v>100000</v>
      </c>
      <c r="J1158" s="435">
        <v>100000</v>
      </c>
      <c r="K1158" s="435">
        <v>27420.12</v>
      </c>
      <c r="L1158" s="517"/>
    </row>
    <row r="1159" spans="1:12" s="22" customFormat="1" ht="13.5">
      <c r="A1159" s="88"/>
      <c r="B1159" s="88"/>
      <c r="C1159" s="83"/>
      <c r="D1159" s="270"/>
      <c r="E1159" s="89"/>
      <c r="F1159" s="200" t="s">
        <v>1577</v>
      </c>
      <c r="G1159" s="54">
        <v>422000</v>
      </c>
      <c r="H1159" s="20" t="s">
        <v>793</v>
      </c>
      <c r="I1159" s="434">
        <f>I1160+I1161</f>
        <v>3510000</v>
      </c>
      <c r="J1159" s="434">
        <f>J1160+J1161</f>
        <v>3510000</v>
      </c>
      <c r="K1159" s="434">
        <f>K1160+K1161</f>
        <v>1592398.61</v>
      </c>
      <c r="L1159" s="517"/>
    </row>
    <row r="1160" spans="1:12" ht="12.75">
      <c r="A1160" s="86"/>
      <c r="B1160" s="86"/>
      <c r="C1160" s="83"/>
      <c r="D1160" s="270"/>
      <c r="E1160" s="87"/>
      <c r="F1160" s="200" t="s">
        <v>1578</v>
      </c>
      <c r="G1160" s="35">
        <v>422100</v>
      </c>
      <c r="H1160" s="4" t="s">
        <v>899</v>
      </c>
      <c r="I1160" s="435">
        <v>10000</v>
      </c>
      <c r="J1160" s="435">
        <v>10000</v>
      </c>
      <c r="K1160" s="435">
        <v>0</v>
      </c>
      <c r="L1160" s="517"/>
    </row>
    <row r="1161" spans="1:13" ht="12.75">
      <c r="A1161" s="82"/>
      <c r="B1161" s="82"/>
      <c r="C1161" s="83"/>
      <c r="D1161" s="270"/>
      <c r="E1161" s="83"/>
      <c r="F1161" s="200" t="s">
        <v>1579</v>
      </c>
      <c r="G1161" s="35">
        <v>422400</v>
      </c>
      <c r="H1161" s="4" t="s">
        <v>921</v>
      </c>
      <c r="I1161" s="435">
        <v>3500000</v>
      </c>
      <c r="J1161" s="435">
        <v>3500000</v>
      </c>
      <c r="K1161" s="435">
        <v>1592398.61</v>
      </c>
      <c r="L1161" s="517"/>
      <c r="M1161" s="515"/>
    </row>
    <row r="1162" spans="1:12" s="22" customFormat="1" ht="13.5">
      <c r="A1162" s="88"/>
      <c r="B1162" s="88"/>
      <c r="C1162" s="83"/>
      <c r="D1162" s="270"/>
      <c r="E1162" s="89"/>
      <c r="F1162" s="200" t="s">
        <v>1580</v>
      </c>
      <c r="G1162" s="54">
        <v>423000</v>
      </c>
      <c r="H1162" s="20" t="s">
        <v>794</v>
      </c>
      <c r="I1162" s="434">
        <f>I1163+I1164</f>
        <v>150000</v>
      </c>
      <c r="J1162" s="434">
        <f>J1163+J1164</f>
        <v>150000</v>
      </c>
      <c r="K1162" s="434">
        <f>K1163+K1164</f>
        <v>18110.53</v>
      </c>
      <c r="L1162" s="517"/>
    </row>
    <row r="1163" spans="1:12" s="8" customFormat="1" ht="12.75">
      <c r="A1163" s="258"/>
      <c r="B1163" s="258"/>
      <c r="C1163" s="83"/>
      <c r="D1163" s="270"/>
      <c r="E1163" s="259"/>
      <c r="F1163" s="200" t="s">
        <v>1581</v>
      </c>
      <c r="G1163" s="35" t="s">
        <v>369</v>
      </c>
      <c r="H1163" s="240" t="s">
        <v>817</v>
      </c>
      <c r="I1163" s="435">
        <v>50000</v>
      </c>
      <c r="J1163" s="435">
        <v>50000</v>
      </c>
      <c r="K1163" s="435">
        <v>18110.53</v>
      </c>
      <c r="L1163" s="517"/>
    </row>
    <row r="1164" spans="1:12" ht="12.75">
      <c r="A1164" s="86"/>
      <c r="B1164" s="86"/>
      <c r="C1164" s="83"/>
      <c r="D1164" s="270"/>
      <c r="E1164" s="87"/>
      <c r="F1164" s="200" t="s">
        <v>1582</v>
      </c>
      <c r="G1164" s="524">
        <v>423300</v>
      </c>
      <c r="H1164" s="5" t="s">
        <v>902</v>
      </c>
      <c r="I1164" s="435">
        <v>100000</v>
      </c>
      <c r="J1164" s="435">
        <v>100000</v>
      </c>
      <c r="K1164" s="435">
        <v>0</v>
      </c>
      <c r="L1164" s="517"/>
    </row>
    <row r="1165" spans="1:12" s="22" customFormat="1" ht="13.5">
      <c r="A1165" s="88"/>
      <c r="B1165" s="88"/>
      <c r="C1165" s="83"/>
      <c r="D1165" s="270"/>
      <c r="E1165" s="89"/>
      <c r="F1165" s="200" t="s">
        <v>1583</v>
      </c>
      <c r="G1165" s="528">
        <v>424000</v>
      </c>
      <c r="H1165" s="20" t="s">
        <v>800</v>
      </c>
      <c r="I1165" s="434">
        <f>I1166+I1167</f>
        <v>35000</v>
      </c>
      <c r="J1165" s="434">
        <f>J1166+J1167</f>
        <v>35000</v>
      </c>
      <c r="K1165" s="434">
        <f>K1166+K1167</f>
        <v>16100</v>
      </c>
      <c r="L1165" s="517"/>
    </row>
    <row r="1166" spans="1:12" ht="12.75">
      <c r="A1166" s="86"/>
      <c r="B1166" s="86"/>
      <c r="C1166" s="83"/>
      <c r="D1166" s="270"/>
      <c r="E1166" s="87"/>
      <c r="F1166" s="200" t="s">
        <v>1584</v>
      </c>
      <c r="G1166" s="524">
        <v>424300</v>
      </c>
      <c r="H1166" s="4" t="s">
        <v>235</v>
      </c>
      <c r="I1166" s="435">
        <v>5000</v>
      </c>
      <c r="J1166" s="435">
        <v>5000</v>
      </c>
      <c r="K1166" s="435">
        <v>1700</v>
      </c>
      <c r="L1166" s="517"/>
    </row>
    <row r="1167" spans="1:12" ht="12.75">
      <c r="A1167" s="86"/>
      <c r="B1167" s="86"/>
      <c r="C1167" s="83"/>
      <c r="D1167" s="270"/>
      <c r="E1167" s="87"/>
      <c r="F1167" s="200" t="s">
        <v>1585</v>
      </c>
      <c r="G1167" s="524" t="s">
        <v>615</v>
      </c>
      <c r="H1167" s="240" t="s">
        <v>590</v>
      </c>
      <c r="I1167" s="435">
        <v>30000</v>
      </c>
      <c r="J1167" s="435">
        <v>30000</v>
      </c>
      <c r="K1167" s="435">
        <v>14400</v>
      </c>
      <c r="L1167" s="517"/>
    </row>
    <row r="1168" spans="1:12" s="22" customFormat="1" ht="13.5">
      <c r="A1168" s="88"/>
      <c r="B1168" s="88"/>
      <c r="C1168" s="83"/>
      <c r="D1168" s="270"/>
      <c r="E1168" s="89"/>
      <c r="F1168" s="200" t="s">
        <v>1586</v>
      </c>
      <c r="G1168" s="528">
        <v>425000</v>
      </c>
      <c r="H1168" s="20" t="s">
        <v>797</v>
      </c>
      <c r="I1168" s="434">
        <f>I1169+I1170</f>
        <v>4850000</v>
      </c>
      <c r="J1168" s="434">
        <f>J1169+J1170</f>
        <v>4850000</v>
      </c>
      <c r="K1168" s="434">
        <f>K1169+K1170</f>
        <v>2158910.4</v>
      </c>
      <c r="L1168" s="517"/>
    </row>
    <row r="1169" spans="1:12" ht="12.75">
      <c r="A1169" s="86"/>
      <c r="B1169" s="86"/>
      <c r="C1169" s="83"/>
      <c r="D1169" s="270"/>
      <c r="E1169" s="87"/>
      <c r="F1169" s="200" t="s">
        <v>1587</v>
      </c>
      <c r="G1169" s="524">
        <v>425100</v>
      </c>
      <c r="H1169" s="4" t="s">
        <v>909</v>
      </c>
      <c r="I1169" s="435">
        <v>4700000</v>
      </c>
      <c r="J1169" s="435">
        <v>4700000</v>
      </c>
      <c r="K1169" s="435">
        <v>2135990.4</v>
      </c>
      <c r="L1169" s="517"/>
    </row>
    <row r="1170" spans="1:12" ht="12.75">
      <c r="A1170" s="82"/>
      <c r="B1170" s="82"/>
      <c r="C1170" s="83"/>
      <c r="D1170" s="270"/>
      <c r="E1170" s="83"/>
      <c r="F1170" s="200" t="s">
        <v>1588</v>
      </c>
      <c r="G1170" s="524">
        <v>425200</v>
      </c>
      <c r="H1170" s="4" t="s">
        <v>910</v>
      </c>
      <c r="I1170" s="435">
        <v>150000</v>
      </c>
      <c r="J1170" s="435">
        <v>150000</v>
      </c>
      <c r="K1170" s="435">
        <v>22920</v>
      </c>
      <c r="L1170" s="517"/>
    </row>
    <row r="1171" spans="1:12" s="22" customFormat="1" ht="13.5">
      <c r="A1171" s="88"/>
      <c r="B1171" s="88"/>
      <c r="C1171" s="83"/>
      <c r="D1171" s="270"/>
      <c r="E1171" s="89"/>
      <c r="F1171" s="200" t="s">
        <v>1589</v>
      </c>
      <c r="G1171" s="528">
        <v>426000</v>
      </c>
      <c r="H1171" s="20" t="s">
        <v>795</v>
      </c>
      <c r="I1171" s="434">
        <f>I1172+I1173+I1174+I1175</f>
        <v>380000</v>
      </c>
      <c r="J1171" s="434">
        <f>J1172+J1173+J1174+J1175</f>
        <v>380000</v>
      </c>
      <c r="K1171" s="434">
        <f>K1172+K1173+K1174+K1175</f>
        <v>109036</v>
      </c>
      <c r="L1171" s="517"/>
    </row>
    <row r="1172" spans="1:12" ht="12.75">
      <c r="A1172" s="86"/>
      <c r="B1172" s="86"/>
      <c r="C1172" s="83"/>
      <c r="D1172" s="270"/>
      <c r="E1172" s="87"/>
      <c r="F1172" s="200" t="s">
        <v>1590</v>
      </c>
      <c r="G1172" s="524">
        <v>426100</v>
      </c>
      <c r="H1172" s="4" t="s">
        <v>911</v>
      </c>
      <c r="I1172" s="435">
        <v>140000</v>
      </c>
      <c r="J1172" s="435">
        <v>140000</v>
      </c>
      <c r="K1172" s="435">
        <v>36628.4</v>
      </c>
      <c r="L1172" s="517"/>
    </row>
    <row r="1173" spans="1:12" ht="12.75">
      <c r="A1173" s="82"/>
      <c r="B1173" s="82"/>
      <c r="C1173" s="83"/>
      <c r="D1173" s="270"/>
      <c r="E1173" s="83"/>
      <c r="F1173" s="200" t="s">
        <v>1591</v>
      </c>
      <c r="G1173" s="524">
        <v>426300</v>
      </c>
      <c r="H1173" s="5" t="s">
        <v>922</v>
      </c>
      <c r="I1173" s="435">
        <v>40000</v>
      </c>
      <c r="J1173" s="435">
        <v>40000</v>
      </c>
      <c r="K1173" s="435">
        <v>13800</v>
      </c>
      <c r="L1173" s="517"/>
    </row>
    <row r="1174" spans="1:12" ht="12.75">
      <c r="A1174" s="82"/>
      <c r="B1174" s="82"/>
      <c r="C1174" s="83"/>
      <c r="D1174" s="270"/>
      <c r="E1174" s="83"/>
      <c r="F1174" s="200" t="s">
        <v>1592</v>
      </c>
      <c r="G1174" s="524">
        <v>426600</v>
      </c>
      <c r="H1174" s="5" t="s">
        <v>923</v>
      </c>
      <c r="I1174" s="435">
        <v>100000</v>
      </c>
      <c r="J1174" s="435">
        <v>100000</v>
      </c>
      <c r="K1174" s="435">
        <v>30522.4</v>
      </c>
      <c r="L1174" s="517"/>
    </row>
    <row r="1175" spans="1:12" ht="12.75">
      <c r="A1175" s="82"/>
      <c r="B1175" s="82"/>
      <c r="C1175" s="83"/>
      <c r="D1175" s="270"/>
      <c r="E1175" s="83"/>
      <c r="F1175" s="200" t="s">
        <v>1593</v>
      </c>
      <c r="G1175" s="524">
        <v>426800</v>
      </c>
      <c r="H1175" s="5" t="s">
        <v>913</v>
      </c>
      <c r="I1175" s="435">
        <v>100000</v>
      </c>
      <c r="J1175" s="435">
        <v>100000</v>
      </c>
      <c r="K1175" s="435">
        <v>28085.2</v>
      </c>
      <c r="L1175" s="517"/>
    </row>
    <row r="1176" spans="1:12" ht="13.5">
      <c r="A1176" s="82"/>
      <c r="B1176" s="82"/>
      <c r="C1176" s="83"/>
      <c r="D1176" s="270"/>
      <c r="E1176" s="83"/>
      <c r="F1176" s="200"/>
      <c r="G1176" s="528" t="s">
        <v>521</v>
      </c>
      <c r="H1176" s="23" t="s">
        <v>717</v>
      </c>
      <c r="I1176" s="434">
        <f>I1177</f>
        <v>1350000</v>
      </c>
      <c r="J1176" s="434">
        <f>J1177</f>
        <v>1350000</v>
      </c>
      <c r="K1176" s="434">
        <f>K1177</f>
        <v>325270.49</v>
      </c>
      <c r="L1176" s="517"/>
    </row>
    <row r="1177" spans="1:12" ht="12.75">
      <c r="A1177" s="82"/>
      <c r="B1177" s="82"/>
      <c r="C1177" s="83"/>
      <c r="D1177" s="270"/>
      <c r="E1177" s="83"/>
      <c r="F1177" s="200"/>
      <c r="G1177" s="524" t="s">
        <v>613</v>
      </c>
      <c r="H1177" s="5" t="s">
        <v>718</v>
      </c>
      <c r="I1177" s="435">
        <v>1350000</v>
      </c>
      <c r="J1177" s="435">
        <v>1350000</v>
      </c>
      <c r="K1177" s="435">
        <v>325270.49</v>
      </c>
      <c r="L1177" s="517"/>
    </row>
    <row r="1178" spans="1:12" s="22" customFormat="1" ht="13.5">
      <c r="A1178" s="88"/>
      <c r="B1178" s="88"/>
      <c r="C1178" s="83"/>
      <c r="D1178" s="270"/>
      <c r="E1178" s="89"/>
      <c r="F1178" s="200" t="s">
        <v>1594</v>
      </c>
      <c r="G1178" s="54">
        <v>482000</v>
      </c>
      <c r="H1178" s="23" t="s">
        <v>859</v>
      </c>
      <c r="I1178" s="434">
        <f>I1179</f>
        <v>5000</v>
      </c>
      <c r="J1178" s="434">
        <f>J1179</f>
        <v>5000</v>
      </c>
      <c r="K1178" s="434">
        <f>K1179</f>
        <v>0</v>
      </c>
      <c r="L1178" s="517"/>
    </row>
    <row r="1179" spans="1:12" ht="12.75">
      <c r="A1179" s="86"/>
      <c r="B1179" s="86"/>
      <c r="C1179" s="83"/>
      <c r="D1179" s="270"/>
      <c r="E1179" s="87"/>
      <c r="F1179" s="200" t="s">
        <v>1595</v>
      </c>
      <c r="G1179" s="35">
        <v>482200</v>
      </c>
      <c r="H1179" s="52" t="s">
        <v>914</v>
      </c>
      <c r="I1179" s="435">
        <v>5000</v>
      </c>
      <c r="J1179" s="435">
        <v>5000</v>
      </c>
      <c r="K1179" s="435">
        <v>0</v>
      </c>
      <c r="L1179" s="517"/>
    </row>
    <row r="1180" spans="1:12" s="36" customFormat="1" ht="13.5" thickBot="1">
      <c r="A1180" s="82"/>
      <c r="B1180" s="82"/>
      <c r="C1180" s="83"/>
      <c r="D1180" s="270"/>
      <c r="E1180" s="83"/>
      <c r="F1180" s="200"/>
      <c r="G1180" s="524"/>
      <c r="H1180" s="128"/>
      <c r="I1180" s="436"/>
      <c r="J1180" s="436"/>
      <c r="K1180" s="436"/>
      <c r="L1180" s="517"/>
    </row>
    <row r="1181" spans="1:12" s="36" customFormat="1" ht="13.5" thickBot="1">
      <c r="A1181" s="82"/>
      <c r="B1181" s="82"/>
      <c r="C1181" s="83"/>
      <c r="D1181" s="270"/>
      <c r="E1181" s="83"/>
      <c r="F1181" s="200"/>
      <c r="G1181" s="524"/>
      <c r="H1181" s="127" t="s">
        <v>840</v>
      </c>
      <c r="I1181" s="481">
        <f>I1147+I1149+I1151+I1153+I1159+I1162+I1165+I1168+I1171+I1176+I1178</f>
        <v>16390000</v>
      </c>
      <c r="J1181" s="481">
        <f>J1147+J1149+J1151+J1153+J1159+J1162+J1165+J1168+J1171+J1176+J1178</f>
        <v>16390000</v>
      </c>
      <c r="K1181" s="603">
        <f>K1147+K1149+K1151+K1153+K1159+K1162+K1165+K1168+K1171+K1176+K1178</f>
        <v>6552322.180000001</v>
      </c>
      <c r="L1181" s="517"/>
    </row>
    <row r="1182" spans="1:12" s="36" customFormat="1" ht="12.75">
      <c r="A1182" s="86"/>
      <c r="B1182" s="86"/>
      <c r="C1182" s="83"/>
      <c r="D1182" s="270"/>
      <c r="E1182" s="87"/>
      <c r="F1182" s="200"/>
      <c r="G1182" s="35"/>
      <c r="H1182" s="99"/>
      <c r="I1182" s="435"/>
      <c r="J1182" s="435"/>
      <c r="K1182" s="435"/>
      <c r="L1182" s="517"/>
    </row>
    <row r="1183" spans="1:12" ht="12.75">
      <c r="A1183" s="86"/>
      <c r="B1183" s="86"/>
      <c r="C1183" s="83"/>
      <c r="D1183" s="270"/>
      <c r="E1183" s="87"/>
      <c r="F1183" s="200"/>
      <c r="G1183" s="35"/>
      <c r="H1183" s="6"/>
      <c r="I1183" s="435"/>
      <c r="J1183" s="435"/>
      <c r="K1183" s="435"/>
      <c r="L1183" s="517"/>
    </row>
    <row r="1184" spans="1:12" s="22" customFormat="1" ht="12.75" customHeight="1">
      <c r="A1184" s="100"/>
      <c r="B1184" s="100"/>
      <c r="C1184" s="217"/>
      <c r="D1184" s="268" t="s">
        <v>544</v>
      </c>
      <c r="E1184" s="101"/>
      <c r="F1184" s="199"/>
      <c r="G1184" s="543"/>
      <c r="H1184" s="102" t="s">
        <v>542</v>
      </c>
      <c r="I1184" s="468"/>
      <c r="J1184" s="468"/>
      <c r="K1184" s="468"/>
      <c r="L1184" s="517"/>
    </row>
    <row r="1185" spans="1:12" s="22" customFormat="1" ht="17.25" customHeight="1">
      <c r="A1185" s="88"/>
      <c r="B1185" s="117"/>
      <c r="C1185" s="218"/>
      <c r="D1185" s="269" t="s">
        <v>545</v>
      </c>
      <c r="E1185" s="118"/>
      <c r="F1185" s="203"/>
      <c r="G1185" s="544"/>
      <c r="H1185" s="131" t="s">
        <v>543</v>
      </c>
      <c r="I1185" s="469"/>
      <c r="J1185" s="469"/>
      <c r="K1185" s="469"/>
      <c r="L1185" s="517"/>
    </row>
    <row r="1186" spans="1:12" s="31" customFormat="1" ht="13.5">
      <c r="A1186" s="120"/>
      <c r="B1186" s="120"/>
      <c r="C1186" s="207"/>
      <c r="D1186" s="209"/>
      <c r="E1186" s="121">
        <v>912</v>
      </c>
      <c r="F1186" s="207"/>
      <c r="G1186" s="545"/>
      <c r="H1186" s="91" t="s">
        <v>697</v>
      </c>
      <c r="I1186" s="470"/>
      <c r="J1186" s="470"/>
      <c r="K1186" s="470"/>
      <c r="L1186" s="517"/>
    </row>
    <row r="1187" spans="1:12" s="22" customFormat="1" ht="13.5">
      <c r="A1187" s="88"/>
      <c r="B1187" s="88"/>
      <c r="C1187" s="83"/>
      <c r="D1187" s="82"/>
      <c r="E1187" s="89"/>
      <c r="F1187" s="200" t="s">
        <v>1596</v>
      </c>
      <c r="G1187" s="535">
        <v>413000</v>
      </c>
      <c r="H1187" s="242" t="s">
        <v>824</v>
      </c>
      <c r="I1187" s="454">
        <f>I1188</f>
        <v>2595500</v>
      </c>
      <c r="J1187" s="454">
        <f>J1188</f>
        <v>2595500</v>
      </c>
      <c r="K1187" s="454">
        <f>K1188</f>
        <v>1112948.19</v>
      </c>
      <c r="L1187" s="517"/>
    </row>
    <row r="1188" spans="1:12" ht="12.75">
      <c r="A1188" s="86"/>
      <c r="B1188" s="86"/>
      <c r="C1188" s="83"/>
      <c r="D1188" s="82"/>
      <c r="E1188" s="87"/>
      <c r="F1188" s="200" t="s">
        <v>1597</v>
      </c>
      <c r="G1188" s="536">
        <v>413100</v>
      </c>
      <c r="H1188" s="245" t="s">
        <v>824</v>
      </c>
      <c r="I1188" s="435">
        <v>2595500</v>
      </c>
      <c r="J1188" s="435">
        <v>2595500</v>
      </c>
      <c r="K1188" s="435">
        <v>1112948.19</v>
      </c>
      <c r="L1188" s="517"/>
    </row>
    <row r="1189" spans="1:12" s="22" customFormat="1" ht="13.5">
      <c r="A1189" s="88"/>
      <c r="B1189" s="88"/>
      <c r="C1189" s="83"/>
      <c r="D1189" s="82"/>
      <c r="E1189" s="89"/>
      <c r="F1189" s="200" t="s">
        <v>1598</v>
      </c>
      <c r="G1189" s="535">
        <v>415000</v>
      </c>
      <c r="H1189" s="242" t="s">
        <v>852</v>
      </c>
      <c r="I1189" s="454">
        <f>I1190</f>
        <v>1920000</v>
      </c>
      <c r="J1189" s="454">
        <f>J1190</f>
        <v>1920000</v>
      </c>
      <c r="K1189" s="454">
        <f>K1190</f>
        <v>961363.24</v>
      </c>
      <c r="L1189" s="517"/>
    </row>
    <row r="1190" spans="1:12" ht="12.75">
      <c r="A1190" s="86"/>
      <c r="B1190" s="86"/>
      <c r="C1190" s="83"/>
      <c r="D1190" s="82"/>
      <c r="E1190" s="87"/>
      <c r="F1190" s="200" t="s">
        <v>1599</v>
      </c>
      <c r="G1190" s="536">
        <v>415100</v>
      </c>
      <c r="H1190" s="245" t="s">
        <v>852</v>
      </c>
      <c r="I1190" s="455">
        <v>1920000</v>
      </c>
      <c r="J1190" s="455">
        <v>1920000</v>
      </c>
      <c r="K1190" s="455">
        <v>961363.24</v>
      </c>
      <c r="L1190" s="517"/>
    </row>
    <row r="1191" spans="1:12" s="22" customFormat="1" ht="13.5">
      <c r="A1191" s="88"/>
      <c r="B1191" s="88"/>
      <c r="C1191" s="83"/>
      <c r="D1191" s="82"/>
      <c r="E1191" s="89"/>
      <c r="F1191" s="200" t="s">
        <v>1603</v>
      </c>
      <c r="G1191" s="54">
        <v>416000</v>
      </c>
      <c r="H1191" s="20" t="s">
        <v>853</v>
      </c>
      <c r="I1191" s="434">
        <f>I1192</f>
        <v>455000</v>
      </c>
      <c r="J1191" s="434">
        <f>J1192</f>
        <v>455000</v>
      </c>
      <c r="K1191" s="434">
        <f>K1192</f>
        <v>0</v>
      </c>
      <c r="L1191" s="517"/>
    </row>
    <row r="1192" spans="1:12" ht="12.75">
      <c r="A1192" s="86"/>
      <c r="B1192" s="86"/>
      <c r="C1192" s="83"/>
      <c r="D1192" s="82"/>
      <c r="E1192" s="87"/>
      <c r="F1192" s="200" t="s">
        <v>1604</v>
      </c>
      <c r="G1192" s="35">
        <v>416100</v>
      </c>
      <c r="H1192" s="4" t="s">
        <v>853</v>
      </c>
      <c r="I1192" s="435">
        <v>455000</v>
      </c>
      <c r="J1192" s="435">
        <v>455000</v>
      </c>
      <c r="K1192" s="435">
        <v>0</v>
      </c>
      <c r="L1192" s="517"/>
    </row>
    <row r="1193" spans="1:12" s="22" customFormat="1" ht="13.5">
      <c r="A1193" s="88"/>
      <c r="B1193" s="88"/>
      <c r="C1193" s="83"/>
      <c r="D1193" s="82"/>
      <c r="E1193" s="89"/>
      <c r="F1193" s="200" t="s">
        <v>1605</v>
      </c>
      <c r="G1193" s="54">
        <v>421000</v>
      </c>
      <c r="H1193" s="20" t="s">
        <v>799</v>
      </c>
      <c r="I1193" s="434">
        <f>I1194+I1195+I1196+I1197+I1198</f>
        <v>4176100</v>
      </c>
      <c r="J1193" s="434">
        <f>J1194+J1195+J1196+J1197+J1198</f>
        <v>4176100</v>
      </c>
      <c r="K1193" s="434">
        <f>K1194+K1195+K1196+K1197+K1198</f>
        <v>1044030.1300000001</v>
      </c>
      <c r="L1193" s="517"/>
    </row>
    <row r="1194" spans="1:12" ht="12.75">
      <c r="A1194" s="86"/>
      <c r="B1194" s="86"/>
      <c r="C1194" s="83"/>
      <c r="D1194" s="82"/>
      <c r="E1194" s="87"/>
      <c r="F1194" s="200" t="s">
        <v>1606</v>
      </c>
      <c r="G1194" s="35">
        <v>421100</v>
      </c>
      <c r="H1194" s="4" t="s">
        <v>894</v>
      </c>
      <c r="I1194" s="435">
        <v>100000</v>
      </c>
      <c r="J1194" s="435">
        <v>100000</v>
      </c>
      <c r="K1194" s="435">
        <v>66107.17</v>
      </c>
      <c r="L1194" s="517"/>
    </row>
    <row r="1195" spans="1:12" ht="12.75">
      <c r="A1195" s="82"/>
      <c r="B1195" s="82"/>
      <c r="C1195" s="83"/>
      <c r="D1195" s="82"/>
      <c r="E1195" s="83"/>
      <c r="F1195" s="200" t="s">
        <v>1607</v>
      </c>
      <c r="G1195" s="35">
        <v>421200</v>
      </c>
      <c r="H1195" s="4" t="s">
        <v>920</v>
      </c>
      <c r="I1195" s="435">
        <v>3146000</v>
      </c>
      <c r="J1195" s="435">
        <v>3146000</v>
      </c>
      <c r="K1195" s="435">
        <v>584848.29</v>
      </c>
      <c r="L1195" s="517"/>
    </row>
    <row r="1196" spans="1:12" ht="12.75">
      <c r="A1196" s="82"/>
      <c r="B1196" s="82"/>
      <c r="C1196" s="83"/>
      <c r="D1196" s="82"/>
      <c r="E1196" s="83"/>
      <c r="F1196" s="200" t="s">
        <v>1608</v>
      </c>
      <c r="G1196" s="524">
        <v>421300</v>
      </c>
      <c r="H1196" s="5" t="s">
        <v>896</v>
      </c>
      <c r="I1196" s="435">
        <v>534700</v>
      </c>
      <c r="J1196" s="435">
        <v>534700</v>
      </c>
      <c r="K1196" s="435">
        <v>209485.2</v>
      </c>
      <c r="L1196" s="517"/>
    </row>
    <row r="1197" spans="1:12" ht="12.75">
      <c r="A1197" s="82"/>
      <c r="B1197" s="82"/>
      <c r="C1197" s="83"/>
      <c r="D1197" s="82"/>
      <c r="E1197" s="83"/>
      <c r="F1197" s="200" t="s">
        <v>1609</v>
      </c>
      <c r="G1197" s="35">
        <v>421400</v>
      </c>
      <c r="H1197" s="5" t="s">
        <v>883</v>
      </c>
      <c r="I1197" s="435">
        <v>80800</v>
      </c>
      <c r="J1197" s="435">
        <v>80800</v>
      </c>
      <c r="K1197" s="435">
        <v>32855.29</v>
      </c>
      <c r="L1197" s="517"/>
    </row>
    <row r="1198" spans="1:12" ht="12.75">
      <c r="A1198" s="82"/>
      <c r="B1198" s="82"/>
      <c r="C1198" s="83"/>
      <c r="D1198" s="82"/>
      <c r="E1198" s="83"/>
      <c r="F1198" s="200" t="s">
        <v>1610</v>
      </c>
      <c r="G1198" s="35">
        <v>421500</v>
      </c>
      <c r="H1198" s="4" t="s">
        <v>897</v>
      </c>
      <c r="I1198" s="435">
        <v>314600</v>
      </c>
      <c r="J1198" s="435">
        <v>314600</v>
      </c>
      <c r="K1198" s="435">
        <v>150734.18</v>
      </c>
      <c r="L1198" s="517"/>
    </row>
    <row r="1199" spans="1:12" s="22" customFormat="1" ht="13.5">
      <c r="A1199" s="88"/>
      <c r="B1199" s="88"/>
      <c r="C1199" s="83"/>
      <c r="D1199" s="82"/>
      <c r="E1199" s="89"/>
      <c r="F1199" s="200" t="s">
        <v>1611</v>
      </c>
      <c r="G1199" s="54">
        <v>422000</v>
      </c>
      <c r="H1199" s="20" t="s">
        <v>793</v>
      </c>
      <c r="I1199" s="434">
        <f>I1200+I1201</f>
        <v>3280300</v>
      </c>
      <c r="J1199" s="434">
        <f>J1200+J1201</f>
        <v>3280300</v>
      </c>
      <c r="K1199" s="434">
        <f>K1200+K1201</f>
        <v>1187877</v>
      </c>
      <c r="L1199" s="517"/>
    </row>
    <row r="1200" spans="1:12" ht="12.75">
      <c r="A1200" s="86"/>
      <c r="B1200" s="86"/>
      <c r="C1200" s="83"/>
      <c r="D1200" s="82"/>
      <c r="E1200" s="87"/>
      <c r="F1200" s="200" t="s">
        <v>1612</v>
      </c>
      <c r="G1200" s="35">
        <v>422100</v>
      </c>
      <c r="H1200" s="4" t="s">
        <v>899</v>
      </c>
      <c r="I1200" s="435">
        <v>10000</v>
      </c>
      <c r="J1200" s="435">
        <v>10000</v>
      </c>
      <c r="K1200" s="435">
        <v>0</v>
      </c>
      <c r="L1200" s="517"/>
    </row>
    <row r="1201" spans="1:13" ht="12.75">
      <c r="A1201" s="82"/>
      <c r="B1201" s="82"/>
      <c r="C1201" s="83"/>
      <c r="D1201" s="82"/>
      <c r="E1201" s="83"/>
      <c r="F1201" s="200" t="s">
        <v>1613</v>
      </c>
      <c r="G1201" s="35">
        <v>422400</v>
      </c>
      <c r="H1201" s="4" t="s">
        <v>921</v>
      </c>
      <c r="I1201" s="435">
        <v>3270300</v>
      </c>
      <c r="J1201" s="435">
        <v>3270300</v>
      </c>
      <c r="K1201" s="435">
        <v>1187877</v>
      </c>
      <c r="L1201" s="517"/>
      <c r="M1201" s="515"/>
    </row>
    <row r="1202" spans="1:12" s="22" customFormat="1" ht="13.5">
      <c r="A1202" s="88"/>
      <c r="B1202" s="88"/>
      <c r="C1202" s="83"/>
      <c r="D1202" s="82"/>
      <c r="E1202" s="89"/>
      <c r="F1202" s="200" t="s">
        <v>1614</v>
      </c>
      <c r="G1202" s="54">
        <v>423000</v>
      </c>
      <c r="H1202" s="20" t="s">
        <v>794</v>
      </c>
      <c r="I1202" s="434">
        <f>I1203+I1204+I1205</f>
        <v>45700</v>
      </c>
      <c r="J1202" s="434">
        <f>J1203+J1204+J1205</f>
        <v>45700</v>
      </c>
      <c r="K1202" s="434">
        <f>K1203+K1204+K1205</f>
        <v>0</v>
      </c>
      <c r="L1202" s="517"/>
    </row>
    <row r="1203" spans="1:12" ht="12.75">
      <c r="A1203" s="86"/>
      <c r="B1203" s="86"/>
      <c r="C1203" s="83"/>
      <c r="D1203" s="82"/>
      <c r="E1203" s="87"/>
      <c r="F1203" s="200" t="s">
        <v>1615</v>
      </c>
      <c r="G1203" s="524">
        <v>423300</v>
      </c>
      <c r="H1203" s="5" t="s">
        <v>902</v>
      </c>
      <c r="I1203" s="435">
        <v>40600</v>
      </c>
      <c r="J1203" s="435">
        <v>40600</v>
      </c>
      <c r="K1203" s="435">
        <v>0</v>
      </c>
      <c r="L1203" s="517"/>
    </row>
    <row r="1204" spans="1:12" ht="12.75">
      <c r="A1204" s="82"/>
      <c r="B1204" s="82"/>
      <c r="C1204" s="83"/>
      <c r="D1204" s="82"/>
      <c r="E1204" s="83"/>
      <c r="F1204" s="200" t="s">
        <v>1620</v>
      </c>
      <c r="G1204" s="524">
        <v>423400</v>
      </c>
      <c r="H1204" s="5" t="s">
        <v>884</v>
      </c>
      <c r="I1204" s="435">
        <v>5100</v>
      </c>
      <c r="J1204" s="435">
        <v>5100</v>
      </c>
      <c r="K1204" s="435">
        <v>0</v>
      </c>
      <c r="L1204" s="517"/>
    </row>
    <row r="1205" spans="1:12" ht="12.75">
      <c r="A1205" s="82"/>
      <c r="B1205" s="82"/>
      <c r="C1205" s="83"/>
      <c r="D1205" s="82"/>
      <c r="E1205" s="83"/>
      <c r="F1205" s="200" t="s">
        <v>1621</v>
      </c>
      <c r="G1205" s="524">
        <v>423600</v>
      </c>
      <c r="H1205" s="5" t="s">
        <v>904</v>
      </c>
      <c r="I1205" s="435">
        <v>0</v>
      </c>
      <c r="J1205" s="435">
        <v>0</v>
      </c>
      <c r="K1205" s="435">
        <v>0</v>
      </c>
      <c r="L1205" s="517"/>
    </row>
    <row r="1206" spans="1:12" s="22" customFormat="1" ht="13.5">
      <c r="A1206" s="88"/>
      <c r="B1206" s="88"/>
      <c r="C1206" s="83"/>
      <c r="D1206" s="82"/>
      <c r="E1206" s="89"/>
      <c r="F1206" s="200" t="s">
        <v>1622</v>
      </c>
      <c r="G1206" s="528">
        <v>424000</v>
      </c>
      <c r="H1206" s="20" t="s">
        <v>800</v>
      </c>
      <c r="I1206" s="434">
        <f>I1207+I1208</f>
        <v>34600</v>
      </c>
      <c r="J1206" s="434">
        <f>J1207+J1208</f>
        <v>34600</v>
      </c>
      <c r="K1206" s="434">
        <f>K1207+K1208</f>
        <v>14400</v>
      </c>
      <c r="L1206" s="517"/>
    </row>
    <row r="1207" spans="1:12" ht="12.75">
      <c r="A1207" s="86"/>
      <c r="B1207" s="86"/>
      <c r="C1207" s="83"/>
      <c r="D1207" s="82"/>
      <c r="E1207" s="87"/>
      <c r="F1207" s="200" t="s">
        <v>1623</v>
      </c>
      <c r="G1207" s="524">
        <v>424200</v>
      </c>
      <c r="H1207" s="4" t="s">
        <v>907</v>
      </c>
      <c r="I1207" s="435">
        <v>4600</v>
      </c>
      <c r="J1207" s="435">
        <v>4600</v>
      </c>
      <c r="K1207" s="435">
        <v>0</v>
      </c>
      <c r="L1207" s="517"/>
    </row>
    <row r="1208" spans="1:12" ht="12.75">
      <c r="A1208" s="86"/>
      <c r="B1208" s="86"/>
      <c r="C1208" s="83"/>
      <c r="D1208" s="82"/>
      <c r="E1208" s="87"/>
      <c r="F1208" s="200" t="s">
        <v>1624</v>
      </c>
      <c r="G1208" s="524" t="s">
        <v>615</v>
      </c>
      <c r="H1208" s="240" t="s">
        <v>590</v>
      </c>
      <c r="I1208" s="435">
        <v>30000</v>
      </c>
      <c r="J1208" s="435">
        <v>30000</v>
      </c>
      <c r="K1208" s="435">
        <v>14400</v>
      </c>
      <c r="L1208" s="517"/>
    </row>
    <row r="1209" spans="1:12" s="22" customFormat="1" ht="13.5">
      <c r="A1209" s="88"/>
      <c r="B1209" s="88"/>
      <c r="C1209" s="83"/>
      <c r="D1209" s="82"/>
      <c r="E1209" s="89"/>
      <c r="F1209" s="200" t="s">
        <v>1625</v>
      </c>
      <c r="G1209" s="528">
        <v>425000</v>
      </c>
      <c r="H1209" s="20" t="s">
        <v>797</v>
      </c>
      <c r="I1209" s="434">
        <f>I1210+I1211</f>
        <v>3570000</v>
      </c>
      <c r="J1209" s="434">
        <f>J1210+J1211</f>
        <v>3570000</v>
      </c>
      <c r="K1209" s="434">
        <f>K1210+K1211</f>
        <v>850916</v>
      </c>
      <c r="L1209" s="517"/>
    </row>
    <row r="1210" spans="1:12" ht="12.75">
      <c r="A1210" s="86"/>
      <c r="B1210" s="86"/>
      <c r="C1210" s="83"/>
      <c r="D1210" s="82"/>
      <c r="E1210" s="87"/>
      <c r="F1210" s="200" t="s">
        <v>1626</v>
      </c>
      <c r="G1210" s="524">
        <v>425100</v>
      </c>
      <c r="H1210" s="4" t="s">
        <v>909</v>
      </c>
      <c r="I1210" s="435">
        <v>3500000</v>
      </c>
      <c r="J1210" s="435">
        <v>3500000</v>
      </c>
      <c r="K1210" s="435">
        <v>805576</v>
      </c>
      <c r="L1210" s="517"/>
    </row>
    <row r="1211" spans="1:12" ht="12.75">
      <c r="A1211" s="82"/>
      <c r="B1211" s="82"/>
      <c r="C1211" s="83"/>
      <c r="D1211" s="82"/>
      <c r="E1211" s="83"/>
      <c r="F1211" s="200" t="s">
        <v>1627</v>
      </c>
      <c r="G1211" s="524">
        <v>425200</v>
      </c>
      <c r="H1211" s="4" t="s">
        <v>910</v>
      </c>
      <c r="I1211" s="435">
        <v>70000</v>
      </c>
      <c r="J1211" s="435">
        <v>70000</v>
      </c>
      <c r="K1211" s="435">
        <v>45340</v>
      </c>
      <c r="L1211" s="517"/>
    </row>
    <row r="1212" spans="1:12" s="22" customFormat="1" ht="13.5">
      <c r="A1212" s="88"/>
      <c r="B1212" s="88"/>
      <c r="C1212" s="83"/>
      <c r="D1212" s="82"/>
      <c r="E1212" s="89"/>
      <c r="F1212" s="200" t="s">
        <v>1628</v>
      </c>
      <c r="G1212" s="528">
        <v>426000</v>
      </c>
      <c r="H1212" s="20" t="s">
        <v>795</v>
      </c>
      <c r="I1212" s="434">
        <f>I1213+I1214+I1215+I1216</f>
        <v>248000</v>
      </c>
      <c r="J1212" s="434">
        <f>J1213+J1214+J1215+J1216</f>
        <v>248000</v>
      </c>
      <c r="K1212" s="434">
        <f>K1213+K1214+K1215+K1216</f>
        <v>77905.33</v>
      </c>
      <c r="L1212" s="517"/>
    </row>
    <row r="1213" spans="1:12" ht="12.75">
      <c r="A1213" s="86"/>
      <c r="B1213" s="86"/>
      <c r="C1213" s="83"/>
      <c r="D1213" s="82"/>
      <c r="E1213" s="87"/>
      <c r="F1213" s="200" t="s">
        <v>1629</v>
      </c>
      <c r="G1213" s="524">
        <v>426100</v>
      </c>
      <c r="H1213" s="4" t="s">
        <v>911</v>
      </c>
      <c r="I1213" s="435">
        <v>60000</v>
      </c>
      <c r="J1213" s="435">
        <v>60000</v>
      </c>
      <c r="K1213" s="435">
        <v>5155.2</v>
      </c>
      <c r="L1213" s="517"/>
    </row>
    <row r="1214" spans="1:12" ht="12.75">
      <c r="A1214" s="82"/>
      <c r="B1214" s="82"/>
      <c r="C1214" s="83"/>
      <c r="D1214" s="82"/>
      <c r="E1214" s="83"/>
      <c r="F1214" s="200" t="s">
        <v>1630</v>
      </c>
      <c r="G1214" s="524">
        <v>426300</v>
      </c>
      <c r="H1214" s="5" t="s">
        <v>922</v>
      </c>
      <c r="I1214" s="435">
        <v>43000</v>
      </c>
      <c r="J1214" s="435">
        <v>43000</v>
      </c>
      <c r="K1214" s="435">
        <v>13800</v>
      </c>
      <c r="L1214" s="517"/>
    </row>
    <row r="1215" spans="1:12" ht="12.75">
      <c r="A1215" s="82"/>
      <c r="B1215" s="82"/>
      <c r="C1215" s="83"/>
      <c r="D1215" s="82"/>
      <c r="E1215" s="83"/>
      <c r="F1215" s="200" t="s">
        <v>1631</v>
      </c>
      <c r="G1215" s="524">
        <v>426600</v>
      </c>
      <c r="H1215" s="5" t="s">
        <v>923</v>
      </c>
      <c r="I1215" s="435">
        <v>60000</v>
      </c>
      <c r="J1215" s="435">
        <v>60000</v>
      </c>
      <c r="K1215" s="435">
        <v>19094.35</v>
      </c>
      <c r="L1215" s="517"/>
    </row>
    <row r="1216" spans="1:12" ht="12.75">
      <c r="A1216" s="82"/>
      <c r="B1216" s="82"/>
      <c r="C1216" s="83"/>
      <c r="D1216" s="82"/>
      <c r="E1216" s="83"/>
      <c r="F1216" s="200" t="s">
        <v>1632</v>
      </c>
      <c r="G1216" s="524">
        <v>426800</v>
      </c>
      <c r="H1216" s="5" t="s">
        <v>913</v>
      </c>
      <c r="I1216" s="435">
        <v>85000</v>
      </c>
      <c r="J1216" s="435">
        <v>85000</v>
      </c>
      <c r="K1216" s="435">
        <v>39855.78</v>
      </c>
      <c r="L1216" s="517"/>
    </row>
    <row r="1217" spans="1:12" ht="13.5">
      <c r="A1217" s="82"/>
      <c r="B1217" s="82"/>
      <c r="C1217" s="83"/>
      <c r="D1217" s="82"/>
      <c r="E1217" s="83"/>
      <c r="F1217" s="200"/>
      <c r="G1217" s="528" t="s">
        <v>521</v>
      </c>
      <c r="H1217" s="23" t="s">
        <v>717</v>
      </c>
      <c r="I1217" s="434">
        <f>I1218</f>
        <v>1290000</v>
      </c>
      <c r="J1217" s="434">
        <f>J1218</f>
        <v>1290000</v>
      </c>
      <c r="K1217" s="434">
        <f>K1218</f>
        <v>338843.52</v>
      </c>
      <c r="L1217" s="517"/>
    </row>
    <row r="1218" spans="1:12" ht="12.75">
      <c r="A1218" s="82"/>
      <c r="B1218" s="82"/>
      <c r="C1218" s="83"/>
      <c r="D1218" s="82"/>
      <c r="E1218" s="83"/>
      <c r="F1218" s="200"/>
      <c r="G1218" s="524" t="s">
        <v>613</v>
      </c>
      <c r="H1218" s="5" t="s">
        <v>718</v>
      </c>
      <c r="I1218" s="435">
        <v>1290000</v>
      </c>
      <c r="J1218" s="435">
        <v>1290000</v>
      </c>
      <c r="K1218" s="435">
        <v>338843.52</v>
      </c>
      <c r="L1218" s="517"/>
    </row>
    <row r="1219" spans="1:12" ht="13.5">
      <c r="A1219" s="82"/>
      <c r="B1219" s="82"/>
      <c r="C1219" s="83"/>
      <c r="D1219" s="82"/>
      <c r="E1219" s="83"/>
      <c r="F1219" s="200" t="s">
        <v>1633</v>
      </c>
      <c r="G1219" s="529" t="s">
        <v>618</v>
      </c>
      <c r="H1219" s="246" t="s">
        <v>591</v>
      </c>
      <c r="I1219" s="434">
        <f>I1220</f>
        <v>86200</v>
      </c>
      <c r="J1219" s="434">
        <f>J1220</f>
        <v>86200</v>
      </c>
      <c r="K1219" s="436">
        <f>K1220</f>
        <v>0</v>
      </c>
      <c r="L1219" s="517"/>
    </row>
    <row r="1220" spans="1:12" ht="12.75">
      <c r="A1220" s="82"/>
      <c r="B1220" s="82"/>
      <c r="C1220" s="83"/>
      <c r="D1220" s="82"/>
      <c r="E1220" s="83"/>
      <c r="F1220" s="200" t="s">
        <v>1634</v>
      </c>
      <c r="G1220" s="524" t="s">
        <v>614</v>
      </c>
      <c r="H1220" s="240" t="s">
        <v>591</v>
      </c>
      <c r="I1220" s="435">
        <v>86200</v>
      </c>
      <c r="J1220" s="435">
        <v>86200</v>
      </c>
      <c r="K1220" s="435">
        <v>0</v>
      </c>
      <c r="L1220" s="517"/>
    </row>
    <row r="1221" spans="1:12" ht="13.5" thickBot="1">
      <c r="A1221" s="82"/>
      <c r="B1221" s="82"/>
      <c r="C1221" s="83"/>
      <c r="D1221" s="82"/>
      <c r="E1221" s="83"/>
      <c r="F1221" s="200"/>
      <c r="G1221" s="524"/>
      <c r="H1221" s="240"/>
      <c r="I1221" s="435"/>
      <c r="J1221" s="435"/>
      <c r="K1221" s="435"/>
      <c r="L1221" s="517"/>
    </row>
    <row r="1222" spans="1:12" s="36" customFormat="1" ht="13.5" thickBot="1">
      <c r="A1222" s="82"/>
      <c r="B1222" s="82"/>
      <c r="C1222" s="83"/>
      <c r="D1222" s="82"/>
      <c r="E1222" s="83"/>
      <c r="F1222" s="200"/>
      <c r="G1222" s="524"/>
      <c r="H1222" s="127" t="s">
        <v>841</v>
      </c>
      <c r="I1222" s="481">
        <f>I1187+I1189+I1191+I1193+I1199+I1202+I1206+I1209+I1212+I1217+I1219</f>
        <v>17701400</v>
      </c>
      <c r="J1222" s="481">
        <f>J1187+J1189+J1191+J1193+J1199+J1202+J1206+J1209+J1212+J1217+J1219</f>
        <v>17701400</v>
      </c>
      <c r="K1222" s="603">
        <f>K1187+K1189+K1191+K1193+K1199+K1202+K1206+K1209+K1212+K1217+K1219</f>
        <v>5588283.41</v>
      </c>
      <c r="L1222" s="517"/>
    </row>
    <row r="1223" spans="1:12" ht="12.75">
      <c r="A1223" s="86"/>
      <c r="B1223" s="86"/>
      <c r="C1223" s="83"/>
      <c r="D1223" s="82"/>
      <c r="E1223" s="87"/>
      <c r="F1223" s="200"/>
      <c r="G1223" s="524"/>
      <c r="H1223" s="6"/>
      <c r="I1223" s="435"/>
      <c r="J1223" s="435"/>
      <c r="K1223" s="435"/>
      <c r="L1223" s="517"/>
    </row>
    <row r="1224" spans="1:12" s="22" customFormat="1" ht="12.75" customHeight="1">
      <c r="A1224" s="100"/>
      <c r="B1224" s="100"/>
      <c r="C1224" s="217"/>
      <c r="D1224" s="268" t="s">
        <v>544</v>
      </c>
      <c r="E1224" s="101"/>
      <c r="F1224" s="199"/>
      <c r="G1224" s="543"/>
      <c r="H1224" s="102" t="s">
        <v>542</v>
      </c>
      <c r="I1224" s="468"/>
      <c r="J1224" s="468"/>
      <c r="K1224" s="468"/>
      <c r="L1224" s="517"/>
    </row>
    <row r="1225" spans="1:12" s="22" customFormat="1" ht="17.25" customHeight="1">
      <c r="A1225" s="88"/>
      <c r="B1225" s="117"/>
      <c r="C1225" s="218"/>
      <c r="D1225" s="269" t="s">
        <v>545</v>
      </c>
      <c r="E1225" s="118"/>
      <c r="F1225" s="203"/>
      <c r="G1225" s="544"/>
      <c r="H1225" s="131" t="s">
        <v>543</v>
      </c>
      <c r="I1225" s="469"/>
      <c r="J1225" s="469"/>
      <c r="K1225" s="469"/>
      <c r="L1225" s="517"/>
    </row>
    <row r="1226" spans="1:12" s="31" customFormat="1" ht="13.5">
      <c r="A1226" s="120"/>
      <c r="B1226" s="120"/>
      <c r="C1226" s="207"/>
      <c r="D1226" s="209"/>
      <c r="E1226" s="121" t="s">
        <v>687</v>
      </c>
      <c r="F1226" s="207"/>
      <c r="G1226" s="545"/>
      <c r="H1226" s="91" t="s">
        <v>698</v>
      </c>
      <c r="I1226" s="470"/>
      <c r="J1226" s="470"/>
      <c r="K1226" s="470"/>
      <c r="L1226" s="517"/>
    </row>
    <row r="1227" spans="1:12" s="22" customFormat="1" ht="13.5">
      <c r="A1227" s="88"/>
      <c r="B1227" s="88"/>
      <c r="C1227" s="83"/>
      <c r="D1227" s="82"/>
      <c r="E1227" s="89"/>
      <c r="F1227" s="200" t="s">
        <v>1636</v>
      </c>
      <c r="G1227" s="535">
        <v>413000</v>
      </c>
      <c r="H1227" s="242" t="s">
        <v>824</v>
      </c>
      <c r="I1227" s="454">
        <f>I1228</f>
        <v>1634000</v>
      </c>
      <c r="J1227" s="454">
        <f>J1228</f>
        <v>1634000</v>
      </c>
      <c r="K1227" s="454">
        <f>K1228</f>
        <v>839885.93</v>
      </c>
      <c r="L1227" s="517"/>
    </row>
    <row r="1228" spans="1:12" ht="12.75">
      <c r="A1228" s="86"/>
      <c r="B1228" s="86"/>
      <c r="C1228" s="83"/>
      <c r="D1228" s="82"/>
      <c r="E1228" s="87"/>
      <c r="F1228" s="200" t="s">
        <v>1637</v>
      </c>
      <c r="G1228" s="536">
        <v>413100</v>
      </c>
      <c r="H1228" s="245" t="s">
        <v>824</v>
      </c>
      <c r="I1228" s="435">
        <v>1634000</v>
      </c>
      <c r="J1228" s="435">
        <v>1634000</v>
      </c>
      <c r="K1228" s="435">
        <v>839885.93</v>
      </c>
      <c r="L1228" s="517"/>
    </row>
    <row r="1229" spans="1:12" s="22" customFormat="1" ht="13.5">
      <c r="A1229" s="88"/>
      <c r="B1229" s="88"/>
      <c r="C1229" s="83"/>
      <c r="D1229" s="82"/>
      <c r="E1229" s="89"/>
      <c r="F1229" s="200" t="s">
        <v>1638</v>
      </c>
      <c r="G1229" s="535">
        <v>415000</v>
      </c>
      <c r="H1229" s="242" t="s">
        <v>852</v>
      </c>
      <c r="I1229" s="454">
        <f>I1230</f>
        <v>1120000</v>
      </c>
      <c r="J1229" s="454">
        <f>J1230</f>
        <v>1120000</v>
      </c>
      <c r="K1229" s="454">
        <f>K1230</f>
        <v>451173.97</v>
      </c>
      <c r="L1229" s="517"/>
    </row>
    <row r="1230" spans="1:12" ht="12.75">
      <c r="A1230" s="86"/>
      <c r="B1230" s="86"/>
      <c r="C1230" s="83"/>
      <c r="D1230" s="82"/>
      <c r="E1230" s="87"/>
      <c r="F1230" s="200" t="s">
        <v>1639</v>
      </c>
      <c r="G1230" s="536">
        <v>415100</v>
      </c>
      <c r="H1230" s="245" t="s">
        <v>852</v>
      </c>
      <c r="I1230" s="455">
        <v>1120000</v>
      </c>
      <c r="J1230" s="455">
        <v>1120000</v>
      </c>
      <c r="K1230" s="455">
        <v>451173.97</v>
      </c>
      <c r="L1230" s="517"/>
    </row>
    <row r="1231" spans="1:12" s="22" customFormat="1" ht="13.5">
      <c r="A1231" s="88"/>
      <c r="B1231" s="88"/>
      <c r="C1231" s="83"/>
      <c r="D1231" s="82"/>
      <c r="E1231" s="89"/>
      <c r="F1231" s="200" t="s">
        <v>1640</v>
      </c>
      <c r="G1231" s="54">
        <v>416000</v>
      </c>
      <c r="H1231" s="20" t="s">
        <v>853</v>
      </c>
      <c r="I1231" s="434">
        <f>I1232</f>
        <v>400000</v>
      </c>
      <c r="J1231" s="434">
        <f>J1232</f>
        <v>400000</v>
      </c>
      <c r="K1231" s="434">
        <f>K1232</f>
        <v>0</v>
      </c>
      <c r="L1231" s="517"/>
    </row>
    <row r="1232" spans="1:12" ht="12.75">
      <c r="A1232" s="86"/>
      <c r="B1232" s="86"/>
      <c r="C1232" s="83"/>
      <c r="D1232" s="82"/>
      <c r="E1232" s="87"/>
      <c r="F1232" s="200" t="s">
        <v>1641</v>
      </c>
      <c r="G1232" s="35">
        <v>416100</v>
      </c>
      <c r="H1232" s="4" t="s">
        <v>853</v>
      </c>
      <c r="I1232" s="435">
        <v>400000</v>
      </c>
      <c r="J1232" s="435">
        <v>400000</v>
      </c>
      <c r="K1232" s="435">
        <v>0</v>
      </c>
      <c r="L1232" s="517"/>
    </row>
    <row r="1233" spans="1:12" s="22" customFormat="1" ht="13.5">
      <c r="A1233" s="88"/>
      <c r="B1233" s="88"/>
      <c r="C1233" s="83"/>
      <c r="D1233" s="82"/>
      <c r="E1233" s="89"/>
      <c r="F1233" s="200" t="s">
        <v>1642</v>
      </c>
      <c r="G1233" s="54">
        <v>421000</v>
      </c>
      <c r="H1233" s="20" t="s">
        <v>799</v>
      </c>
      <c r="I1233" s="434">
        <f>I1234+I1235+I1236+I1237+I1238</f>
        <v>2511000</v>
      </c>
      <c r="J1233" s="434">
        <f>J1234+J1235+J1236+J1237+J1238</f>
        <v>2511000</v>
      </c>
      <c r="K1233" s="434">
        <f>K1234+K1235+K1236+K1237+K1238</f>
        <v>470277.21</v>
      </c>
      <c r="L1233" s="517"/>
    </row>
    <row r="1234" spans="1:12" ht="12.75">
      <c r="A1234" s="86"/>
      <c r="B1234" s="86"/>
      <c r="C1234" s="83"/>
      <c r="D1234" s="82"/>
      <c r="E1234" s="87"/>
      <c r="F1234" s="200" t="s">
        <v>1643</v>
      </c>
      <c r="G1234" s="35">
        <v>421100</v>
      </c>
      <c r="H1234" s="4" t="s">
        <v>894</v>
      </c>
      <c r="I1234" s="435">
        <v>61200</v>
      </c>
      <c r="J1234" s="435">
        <v>61200</v>
      </c>
      <c r="K1234" s="435">
        <v>23849.07</v>
      </c>
      <c r="L1234" s="517"/>
    </row>
    <row r="1235" spans="1:12" ht="12.75">
      <c r="A1235" s="82"/>
      <c r="B1235" s="82"/>
      <c r="C1235" s="83"/>
      <c r="D1235" s="82"/>
      <c r="E1235" s="83"/>
      <c r="F1235" s="200" t="s">
        <v>1644</v>
      </c>
      <c r="G1235" s="35">
        <v>421200</v>
      </c>
      <c r="H1235" s="4" t="s">
        <v>920</v>
      </c>
      <c r="I1235" s="435">
        <v>2295000</v>
      </c>
      <c r="J1235" s="435">
        <v>2295000</v>
      </c>
      <c r="K1235" s="435">
        <v>392836.15</v>
      </c>
      <c r="L1235" s="517"/>
    </row>
    <row r="1236" spans="1:12" ht="12.75">
      <c r="A1236" s="82"/>
      <c r="B1236" s="82"/>
      <c r="C1236" s="83"/>
      <c r="D1236" s="82"/>
      <c r="E1236" s="83"/>
      <c r="F1236" s="200" t="s">
        <v>1645</v>
      </c>
      <c r="G1236" s="524">
        <v>421300</v>
      </c>
      <c r="H1236" s="5" t="s">
        <v>896</v>
      </c>
      <c r="I1236" s="435">
        <v>40800</v>
      </c>
      <c r="J1236" s="435">
        <v>40800</v>
      </c>
      <c r="K1236" s="435">
        <v>5730</v>
      </c>
      <c r="L1236" s="517"/>
    </row>
    <row r="1237" spans="1:12" ht="12.75">
      <c r="A1237" s="82"/>
      <c r="B1237" s="82"/>
      <c r="C1237" s="83"/>
      <c r="D1237" s="82"/>
      <c r="E1237" s="83"/>
      <c r="F1237" s="200" t="s">
        <v>1646</v>
      </c>
      <c r="G1237" s="35">
        <v>421400</v>
      </c>
      <c r="H1237" s="5" t="s">
        <v>883</v>
      </c>
      <c r="I1237" s="435">
        <v>65000</v>
      </c>
      <c r="J1237" s="435">
        <v>65000</v>
      </c>
      <c r="K1237" s="435">
        <v>13539.89</v>
      </c>
      <c r="L1237" s="517"/>
    </row>
    <row r="1238" spans="1:12" ht="12.75">
      <c r="A1238" s="82"/>
      <c r="B1238" s="82"/>
      <c r="C1238" s="83"/>
      <c r="D1238" s="82"/>
      <c r="E1238" s="83"/>
      <c r="F1238" s="200" t="s">
        <v>1647</v>
      </c>
      <c r="G1238" s="35">
        <v>421500</v>
      </c>
      <c r="H1238" s="4" t="s">
        <v>897</v>
      </c>
      <c r="I1238" s="435">
        <v>49000</v>
      </c>
      <c r="J1238" s="435">
        <v>49000</v>
      </c>
      <c r="K1238" s="435">
        <v>34322.1</v>
      </c>
      <c r="L1238" s="517"/>
    </row>
    <row r="1239" spans="1:12" s="22" customFormat="1" ht="13.5">
      <c r="A1239" s="88"/>
      <c r="B1239" s="88"/>
      <c r="C1239" s="83"/>
      <c r="D1239" s="82"/>
      <c r="E1239" s="89"/>
      <c r="F1239" s="200" t="s">
        <v>1648</v>
      </c>
      <c r="G1239" s="54">
        <v>422000</v>
      </c>
      <c r="H1239" s="20" t="s">
        <v>793</v>
      </c>
      <c r="I1239" s="434">
        <f>I1240</f>
        <v>10000</v>
      </c>
      <c r="J1239" s="434">
        <f>J1240</f>
        <v>10000</v>
      </c>
      <c r="K1239" s="434">
        <f>K1240</f>
        <v>2389</v>
      </c>
      <c r="L1239" s="517"/>
    </row>
    <row r="1240" spans="1:12" ht="12.75">
      <c r="A1240" s="86"/>
      <c r="B1240" s="86"/>
      <c r="C1240" s="83"/>
      <c r="D1240" s="82"/>
      <c r="E1240" s="87"/>
      <c r="F1240" s="200" t="s">
        <v>1649</v>
      </c>
      <c r="G1240" s="35">
        <v>422100</v>
      </c>
      <c r="H1240" s="4" t="s">
        <v>899</v>
      </c>
      <c r="I1240" s="435">
        <v>10000</v>
      </c>
      <c r="J1240" s="435">
        <v>10000</v>
      </c>
      <c r="K1240" s="435">
        <v>2389</v>
      </c>
      <c r="L1240" s="517"/>
    </row>
    <row r="1241" spans="1:12" s="22" customFormat="1" ht="13.5">
      <c r="A1241" s="88"/>
      <c r="B1241" s="88"/>
      <c r="C1241" s="83"/>
      <c r="D1241" s="82"/>
      <c r="E1241" s="89"/>
      <c r="F1241" s="200" t="s">
        <v>1650</v>
      </c>
      <c r="G1241" s="54">
        <v>423000</v>
      </c>
      <c r="H1241" s="20" t="s">
        <v>794</v>
      </c>
      <c r="I1241" s="434">
        <f>I1242</f>
        <v>50000</v>
      </c>
      <c r="J1241" s="434">
        <f>J1242</f>
        <v>50000</v>
      </c>
      <c r="K1241" s="434">
        <f>K1242</f>
        <v>13500</v>
      </c>
      <c r="L1241" s="517"/>
    </row>
    <row r="1242" spans="1:12" ht="12.75">
      <c r="A1242" s="86"/>
      <c r="B1242" s="86"/>
      <c r="C1242" s="83"/>
      <c r="D1242" s="82"/>
      <c r="E1242" s="87"/>
      <c r="F1242" s="200" t="s">
        <v>1651</v>
      </c>
      <c r="G1242" s="524">
        <v>423300</v>
      </c>
      <c r="H1242" s="5" t="s">
        <v>902</v>
      </c>
      <c r="I1242" s="435">
        <v>50000</v>
      </c>
      <c r="J1242" s="435">
        <v>50000</v>
      </c>
      <c r="K1242" s="435">
        <v>13500</v>
      </c>
      <c r="L1242" s="517"/>
    </row>
    <row r="1243" spans="1:12" s="22" customFormat="1" ht="13.5">
      <c r="A1243" s="88"/>
      <c r="B1243" s="88"/>
      <c r="C1243" s="83"/>
      <c r="D1243" s="82"/>
      <c r="E1243" s="89"/>
      <c r="F1243" s="200" t="s">
        <v>1652</v>
      </c>
      <c r="G1243" s="528">
        <v>424000</v>
      </c>
      <c r="H1243" s="20" t="s">
        <v>800</v>
      </c>
      <c r="I1243" s="434">
        <f>I1244+I1245</f>
        <v>40200</v>
      </c>
      <c r="J1243" s="434">
        <f>J1244+J1245</f>
        <v>40200</v>
      </c>
      <c r="K1243" s="434">
        <f>K1244+K1245</f>
        <v>16100</v>
      </c>
      <c r="L1243" s="517"/>
    </row>
    <row r="1244" spans="1:12" ht="12.75">
      <c r="A1244" s="86"/>
      <c r="B1244" s="86"/>
      <c r="C1244" s="83"/>
      <c r="D1244" s="82"/>
      <c r="E1244" s="87"/>
      <c r="F1244" s="200" t="s">
        <v>1653</v>
      </c>
      <c r="G1244" s="524">
        <v>424300</v>
      </c>
      <c r="H1244" s="4" t="s">
        <v>235</v>
      </c>
      <c r="I1244" s="435">
        <v>10200</v>
      </c>
      <c r="J1244" s="435">
        <v>10200</v>
      </c>
      <c r="K1244" s="435">
        <v>1700</v>
      </c>
      <c r="L1244" s="517"/>
    </row>
    <row r="1245" spans="1:12" ht="12.75">
      <c r="A1245" s="86"/>
      <c r="B1245" s="86"/>
      <c r="C1245" s="83"/>
      <c r="D1245" s="82"/>
      <c r="E1245" s="87"/>
      <c r="F1245" s="200" t="s">
        <v>1654</v>
      </c>
      <c r="G1245" s="524" t="s">
        <v>615</v>
      </c>
      <c r="H1245" s="240" t="s">
        <v>590</v>
      </c>
      <c r="I1245" s="435">
        <v>30000</v>
      </c>
      <c r="J1245" s="435">
        <v>30000</v>
      </c>
      <c r="K1245" s="435">
        <v>14400</v>
      </c>
      <c r="L1245" s="517"/>
    </row>
    <row r="1246" spans="1:12" s="22" customFormat="1" ht="13.5">
      <c r="A1246" s="88"/>
      <c r="B1246" s="88"/>
      <c r="C1246" s="83"/>
      <c r="D1246" s="82"/>
      <c r="E1246" s="89"/>
      <c r="F1246" s="200" t="s">
        <v>1655</v>
      </c>
      <c r="G1246" s="528">
        <v>425000</v>
      </c>
      <c r="H1246" s="20" t="s">
        <v>797</v>
      </c>
      <c r="I1246" s="434">
        <f>I1247+I1248</f>
        <v>3570000</v>
      </c>
      <c r="J1246" s="434">
        <f>J1247+J1248</f>
        <v>3570000</v>
      </c>
      <c r="K1246" s="434">
        <f>K1247+K1248</f>
        <v>140208</v>
      </c>
      <c r="L1246" s="517"/>
    </row>
    <row r="1247" spans="1:12" ht="12.75">
      <c r="A1247" s="86"/>
      <c r="B1247" s="86"/>
      <c r="C1247" s="83"/>
      <c r="D1247" s="82"/>
      <c r="E1247" s="87"/>
      <c r="F1247" s="200" t="s">
        <v>1656</v>
      </c>
      <c r="G1247" s="524">
        <v>425100</v>
      </c>
      <c r="H1247" s="4" t="s">
        <v>909</v>
      </c>
      <c r="I1247" s="435">
        <v>3500000</v>
      </c>
      <c r="J1247" s="435">
        <v>3500000</v>
      </c>
      <c r="K1247" s="435">
        <v>111612</v>
      </c>
      <c r="L1247" s="517"/>
    </row>
    <row r="1248" spans="1:12" ht="12.75">
      <c r="A1248" s="86"/>
      <c r="B1248" s="86"/>
      <c r="C1248" s="83"/>
      <c r="D1248" s="82"/>
      <c r="E1248" s="87"/>
      <c r="F1248" s="200" t="s">
        <v>1657</v>
      </c>
      <c r="G1248" s="524" t="s">
        <v>617</v>
      </c>
      <c r="H1248" s="240" t="s">
        <v>818</v>
      </c>
      <c r="I1248" s="435">
        <v>70000</v>
      </c>
      <c r="J1248" s="435">
        <v>70000</v>
      </c>
      <c r="K1248" s="435">
        <v>28596</v>
      </c>
      <c r="L1248" s="517"/>
    </row>
    <row r="1249" spans="1:12" s="22" customFormat="1" ht="13.5">
      <c r="A1249" s="88"/>
      <c r="B1249" s="88"/>
      <c r="C1249" s="83"/>
      <c r="D1249" s="82"/>
      <c r="E1249" s="89"/>
      <c r="F1249" s="200" t="s">
        <v>1658</v>
      </c>
      <c r="G1249" s="528">
        <v>426000</v>
      </c>
      <c r="H1249" s="20" t="s">
        <v>795</v>
      </c>
      <c r="I1249" s="434">
        <f>I1250+I1251+I1252+I1253+I1254</f>
        <v>182200</v>
      </c>
      <c r="J1249" s="434">
        <f>J1250+J1251+J1252+J1253+J1254</f>
        <v>182200</v>
      </c>
      <c r="K1249" s="434">
        <f>K1250+K1251+K1252+K1253+K1254</f>
        <v>42335</v>
      </c>
      <c r="L1249" s="517"/>
    </row>
    <row r="1250" spans="1:12" ht="12.75">
      <c r="A1250" s="86"/>
      <c r="B1250" s="86"/>
      <c r="C1250" s="83"/>
      <c r="D1250" s="82"/>
      <c r="E1250" s="87"/>
      <c r="F1250" s="200" t="s">
        <v>1659</v>
      </c>
      <c r="G1250" s="524">
        <v>426100</v>
      </c>
      <c r="H1250" s="4" t="s">
        <v>911</v>
      </c>
      <c r="I1250" s="435">
        <v>70000</v>
      </c>
      <c r="J1250" s="435">
        <v>70000</v>
      </c>
      <c r="K1250" s="435">
        <v>18635</v>
      </c>
      <c r="L1250" s="517"/>
    </row>
    <row r="1251" spans="1:12" ht="12.75">
      <c r="A1251" s="82"/>
      <c r="B1251" s="82"/>
      <c r="C1251" s="83"/>
      <c r="D1251" s="82"/>
      <c r="E1251" s="83"/>
      <c r="F1251" s="200" t="s">
        <v>1660</v>
      </c>
      <c r="G1251" s="524">
        <v>426300</v>
      </c>
      <c r="H1251" s="5" t="s">
        <v>922</v>
      </c>
      <c r="I1251" s="435">
        <v>35700</v>
      </c>
      <c r="J1251" s="435">
        <v>35700</v>
      </c>
      <c r="K1251" s="435">
        <v>1200</v>
      </c>
      <c r="L1251" s="517"/>
    </row>
    <row r="1252" spans="1:12" ht="12.75">
      <c r="A1252" s="82"/>
      <c r="B1252" s="82"/>
      <c r="C1252" s="83"/>
      <c r="D1252" s="82"/>
      <c r="E1252" s="83"/>
      <c r="F1252" s="200" t="s">
        <v>1661</v>
      </c>
      <c r="G1252" s="524">
        <v>426400</v>
      </c>
      <c r="H1252" s="5" t="s">
        <v>912</v>
      </c>
      <c r="I1252" s="435">
        <v>15300</v>
      </c>
      <c r="J1252" s="435">
        <v>15300</v>
      </c>
      <c r="K1252" s="435">
        <v>2500</v>
      </c>
      <c r="L1252" s="517"/>
    </row>
    <row r="1253" spans="1:12" ht="12.75">
      <c r="A1253" s="82"/>
      <c r="B1253" s="82"/>
      <c r="C1253" s="83"/>
      <c r="D1253" s="82"/>
      <c r="E1253" s="83"/>
      <c r="F1253" s="200" t="s">
        <v>1662</v>
      </c>
      <c r="G1253" s="524">
        <v>426600</v>
      </c>
      <c r="H1253" s="5" t="s">
        <v>923</v>
      </c>
      <c r="I1253" s="435">
        <v>20400</v>
      </c>
      <c r="J1253" s="435">
        <v>20400</v>
      </c>
      <c r="K1253" s="435">
        <v>0</v>
      </c>
      <c r="L1253" s="517"/>
    </row>
    <row r="1254" spans="1:12" ht="12.75">
      <c r="A1254" s="82"/>
      <c r="B1254" s="82"/>
      <c r="C1254" s="83"/>
      <c r="D1254" s="82"/>
      <c r="E1254" s="83"/>
      <c r="F1254" s="200" t="s">
        <v>1663</v>
      </c>
      <c r="G1254" s="524">
        <v>426800</v>
      </c>
      <c r="H1254" s="5" t="s">
        <v>913</v>
      </c>
      <c r="I1254" s="435">
        <v>40800</v>
      </c>
      <c r="J1254" s="435">
        <v>40800</v>
      </c>
      <c r="K1254" s="435">
        <v>20000</v>
      </c>
      <c r="L1254" s="517"/>
    </row>
    <row r="1255" spans="1:12" s="22" customFormat="1" ht="13.5">
      <c r="A1255" s="88"/>
      <c r="B1255" s="88"/>
      <c r="C1255" s="83"/>
      <c r="D1255" s="82"/>
      <c r="E1255" s="89"/>
      <c r="F1255" s="200" t="s">
        <v>1664</v>
      </c>
      <c r="G1255" s="54">
        <v>472000</v>
      </c>
      <c r="H1255" s="23" t="s">
        <v>810</v>
      </c>
      <c r="I1255" s="434">
        <f>I1256</f>
        <v>500000</v>
      </c>
      <c r="J1255" s="434">
        <f>J1256</f>
        <v>500000</v>
      </c>
      <c r="K1255" s="434">
        <f>K1256</f>
        <v>173130.4</v>
      </c>
      <c r="L1255" s="517"/>
    </row>
    <row r="1256" spans="1:12" ht="25.5">
      <c r="A1256" s="86"/>
      <c r="B1256" s="86"/>
      <c r="C1256" s="83"/>
      <c r="D1256" s="82"/>
      <c r="E1256" s="87"/>
      <c r="F1256" s="200" t="s">
        <v>1665</v>
      </c>
      <c r="G1256" s="524">
        <v>472700</v>
      </c>
      <c r="H1256" s="4" t="s">
        <v>926</v>
      </c>
      <c r="I1256" s="435">
        <v>500000</v>
      </c>
      <c r="J1256" s="435">
        <v>500000</v>
      </c>
      <c r="K1256" s="435">
        <v>173130.4</v>
      </c>
      <c r="L1256" s="517"/>
    </row>
    <row r="1257" spans="1:12" ht="13.5" thickBot="1">
      <c r="A1257" s="86"/>
      <c r="B1257" s="86"/>
      <c r="C1257" s="83"/>
      <c r="D1257" s="82"/>
      <c r="E1257" s="87"/>
      <c r="F1257" s="200"/>
      <c r="G1257" s="524"/>
      <c r="H1257" s="240"/>
      <c r="I1257" s="435"/>
      <c r="J1257" s="435"/>
      <c r="K1257" s="435"/>
      <c r="L1257" s="517"/>
    </row>
    <row r="1258" spans="1:12" s="36" customFormat="1" ht="13.5" thickBot="1">
      <c r="A1258" s="82"/>
      <c r="B1258" s="82"/>
      <c r="C1258" s="83"/>
      <c r="D1258" s="82"/>
      <c r="E1258" s="83"/>
      <c r="F1258" s="200"/>
      <c r="G1258" s="524"/>
      <c r="H1258" s="127" t="s">
        <v>842</v>
      </c>
      <c r="I1258" s="481">
        <f>I1227+I1229+I1231+I1233+I1239+I1241+I1243+I1246+I1249+I1255</f>
        <v>10017400</v>
      </c>
      <c r="J1258" s="481">
        <f>J1255+J1249+J1246+J1243+J1241+J1239+J1233+J1231+J1229+J1227</f>
        <v>10017400</v>
      </c>
      <c r="K1258" s="603">
        <f>K1227+K1229+K1231+K1233+K1239+K1241+K1243+K1246+K1249+K1255</f>
        <v>2148999.51</v>
      </c>
      <c r="L1258" s="517"/>
    </row>
    <row r="1259" spans="1:12" s="36" customFormat="1" ht="12.75">
      <c r="A1259" s="86"/>
      <c r="B1259" s="86"/>
      <c r="C1259" s="83"/>
      <c r="D1259" s="82"/>
      <c r="E1259" s="87"/>
      <c r="F1259" s="200"/>
      <c r="G1259" s="35"/>
      <c r="H1259" s="99"/>
      <c r="I1259" s="435"/>
      <c r="J1259" s="435"/>
      <c r="K1259" s="435"/>
      <c r="L1259" s="517"/>
    </row>
    <row r="1260" spans="1:12" s="36" customFormat="1" ht="12.75">
      <c r="A1260" s="86"/>
      <c r="B1260" s="86"/>
      <c r="C1260" s="83"/>
      <c r="D1260" s="82"/>
      <c r="E1260" s="87"/>
      <c r="F1260" s="200"/>
      <c r="G1260" s="35"/>
      <c r="H1260" s="99"/>
      <c r="I1260" s="435"/>
      <c r="J1260" s="435"/>
      <c r="K1260" s="435"/>
      <c r="L1260" s="517"/>
    </row>
    <row r="1261" spans="1:12" s="36" customFormat="1" ht="12.75">
      <c r="A1261" s="86"/>
      <c r="B1261" s="86"/>
      <c r="C1261" s="83"/>
      <c r="D1261" s="82"/>
      <c r="E1261" s="87"/>
      <c r="F1261" s="200"/>
      <c r="G1261" s="35"/>
      <c r="H1261" s="99"/>
      <c r="I1261" s="435"/>
      <c r="J1261" s="435"/>
      <c r="K1261" s="435"/>
      <c r="L1261" s="517"/>
    </row>
    <row r="1262" spans="1:12" ht="12.75">
      <c r="A1262" s="86"/>
      <c r="B1262" s="86"/>
      <c r="C1262" s="83"/>
      <c r="D1262" s="82"/>
      <c r="E1262" s="87"/>
      <c r="F1262" s="200"/>
      <c r="G1262" s="524"/>
      <c r="H1262" s="4"/>
      <c r="I1262" s="435"/>
      <c r="J1262" s="435"/>
      <c r="K1262" s="435"/>
      <c r="L1262" s="517"/>
    </row>
    <row r="1263" spans="1:12" s="22" customFormat="1" ht="12.75" customHeight="1">
      <c r="A1263" s="100"/>
      <c r="B1263" s="100"/>
      <c r="C1263" s="217"/>
      <c r="D1263" s="268" t="s">
        <v>544</v>
      </c>
      <c r="E1263" s="101"/>
      <c r="F1263" s="199"/>
      <c r="G1263" s="543"/>
      <c r="H1263" s="102" t="s">
        <v>542</v>
      </c>
      <c r="I1263" s="468"/>
      <c r="J1263" s="468"/>
      <c r="K1263" s="468"/>
      <c r="L1263" s="517"/>
    </row>
    <row r="1264" spans="1:12" s="22" customFormat="1" ht="17.25" customHeight="1">
      <c r="A1264" s="88"/>
      <c r="B1264" s="117"/>
      <c r="C1264" s="218"/>
      <c r="D1264" s="269" t="s">
        <v>545</v>
      </c>
      <c r="E1264" s="118"/>
      <c r="F1264" s="203"/>
      <c r="G1264" s="544"/>
      <c r="H1264" s="131" t="s">
        <v>543</v>
      </c>
      <c r="I1264" s="469"/>
      <c r="J1264" s="469"/>
      <c r="K1264" s="469"/>
      <c r="L1264" s="517"/>
    </row>
    <row r="1265" spans="1:12" s="22" customFormat="1" ht="13.5">
      <c r="A1265" s="88"/>
      <c r="B1265" s="88"/>
      <c r="C1265" s="83"/>
      <c r="D1265" s="270"/>
      <c r="E1265" s="89" t="s">
        <v>687</v>
      </c>
      <c r="F1265" s="200"/>
      <c r="G1265" s="527"/>
      <c r="H1265" s="91" t="s">
        <v>699</v>
      </c>
      <c r="I1265" s="461"/>
      <c r="J1265" s="461"/>
      <c r="K1265" s="461"/>
      <c r="L1265" s="517"/>
    </row>
    <row r="1266" spans="1:12" s="22" customFormat="1" ht="13.5">
      <c r="A1266" s="88"/>
      <c r="B1266" s="88"/>
      <c r="C1266" s="83"/>
      <c r="D1266" s="270"/>
      <c r="E1266" s="89"/>
      <c r="F1266" s="200" t="s">
        <v>1666</v>
      </c>
      <c r="G1266" s="535">
        <v>413000</v>
      </c>
      <c r="H1266" s="242" t="s">
        <v>824</v>
      </c>
      <c r="I1266" s="454">
        <f>I1267</f>
        <v>505000</v>
      </c>
      <c r="J1266" s="454">
        <f>J1267</f>
        <v>505000</v>
      </c>
      <c r="K1266" s="454">
        <f>K1267</f>
        <v>227067.16</v>
      </c>
      <c r="L1266" s="517"/>
    </row>
    <row r="1267" spans="1:12" ht="12.75">
      <c r="A1267" s="86"/>
      <c r="B1267" s="86"/>
      <c r="C1267" s="83"/>
      <c r="D1267" s="270"/>
      <c r="E1267" s="87"/>
      <c r="F1267" s="200" t="s">
        <v>1667</v>
      </c>
      <c r="G1267" s="536">
        <v>413100</v>
      </c>
      <c r="H1267" s="245" t="s">
        <v>824</v>
      </c>
      <c r="I1267" s="435">
        <v>505000</v>
      </c>
      <c r="J1267" s="435">
        <v>505000</v>
      </c>
      <c r="K1267" s="435">
        <v>227067.16</v>
      </c>
      <c r="L1267" s="517"/>
    </row>
    <row r="1268" spans="1:12" s="22" customFormat="1" ht="13.5">
      <c r="A1268" s="88"/>
      <c r="B1268" s="88"/>
      <c r="C1268" s="83"/>
      <c r="D1268" s="270"/>
      <c r="E1268" s="89"/>
      <c r="F1268" s="200" t="s">
        <v>1668</v>
      </c>
      <c r="G1268" s="535">
        <v>415000</v>
      </c>
      <c r="H1268" s="242" t="s">
        <v>852</v>
      </c>
      <c r="I1268" s="454">
        <f>I1269</f>
        <v>530000</v>
      </c>
      <c r="J1268" s="454">
        <f>J1269</f>
        <v>530000</v>
      </c>
      <c r="K1268" s="454">
        <f>K1269</f>
        <v>238223.13</v>
      </c>
      <c r="L1268" s="517"/>
    </row>
    <row r="1269" spans="1:12" ht="12.75">
      <c r="A1269" s="86"/>
      <c r="B1269" s="86"/>
      <c r="C1269" s="83"/>
      <c r="D1269" s="270"/>
      <c r="E1269" s="87"/>
      <c r="F1269" s="200" t="s">
        <v>1669</v>
      </c>
      <c r="G1269" s="536">
        <v>415100</v>
      </c>
      <c r="H1269" s="245" t="s">
        <v>852</v>
      </c>
      <c r="I1269" s="455">
        <v>530000</v>
      </c>
      <c r="J1269" s="455">
        <v>530000</v>
      </c>
      <c r="K1269" s="455">
        <v>238223.13</v>
      </c>
      <c r="L1269" s="517"/>
    </row>
    <row r="1270" spans="1:12" s="22" customFormat="1" ht="13.5">
      <c r="A1270" s="88"/>
      <c r="B1270" s="88"/>
      <c r="C1270" s="83"/>
      <c r="D1270" s="270"/>
      <c r="E1270" s="89"/>
      <c r="F1270" s="200" t="s">
        <v>1670</v>
      </c>
      <c r="G1270" s="54">
        <v>416000</v>
      </c>
      <c r="H1270" s="20" t="s">
        <v>853</v>
      </c>
      <c r="I1270" s="434">
        <f>I1271</f>
        <v>350000</v>
      </c>
      <c r="J1270" s="434">
        <f>J1271</f>
        <v>350000</v>
      </c>
      <c r="K1270" s="434">
        <f>K1271</f>
        <v>0</v>
      </c>
      <c r="L1270" s="517"/>
    </row>
    <row r="1271" spans="1:12" ht="12.75">
      <c r="A1271" s="86"/>
      <c r="B1271" s="86"/>
      <c r="C1271" s="83"/>
      <c r="D1271" s="270"/>
      <c r="E1271" s="87"/>
      <c r="F1271" s="200" t="s">
        <v>1671</v>
      </c>
      <c r="G1271" s="35">
        <v>416100</v>
      </c>
      <c r="H1271" s="4" t="s">
        <v>853</v>
      </c>
      <c r="I1271" s="435">
        <v>350000</v>
      </c>
      <c r="J1271" s="435">
        <v>350000</v>
      </c>
      <c r="K1271" s="435">
        <v>0</v>
      </c>
      <c r="L1271" s="517"/>
    </row>
    <row r="1272" spans="1:12" s="22" customFormat="1" ht="13.5">
      <c r="A1272" s="88"/>
      <c r="B1272" s="88"/>
      <c r="C1272" s="83"/>
      <c r="D1272" s="270"/>
      <c r="E1272" s="89"/>
      <c r="F1272" s="200" t="s">
        <v>1672</v>
      </c>
      <c r="G1272" s="54">
        <v>421000</v>
      </c>
      <c r="H1272" s="20" t="s">
        <v>799</v>
      </c>
      <c r="I1272" s="434">
        <f>I1273+I1274+I1275+I1276+I1277</f>
        <v>548000</v>
      </c>
      <c r="J1272" s="434">
        <f>J1273+J1274+J1275+J1276+J1277</f>
        <v>548000</v>
      </c>
      <c r="K1272" s="434">
        <f>K1273+K1274+K1275+K1276+K1277</f>
        <v>83712.12</v>
      </c>
      <c r="L1272" s="517"/>
    </row>
    <row r="1273" spans="1:12" ht="12.75">
      <c r="A1273" s="86"/>
      <c r="B1273" s="86"/>
      <c r="C1273" s="83"/>
      <c r="D1273" s="270"/>
      <c r="E1273" s="87"/>
      <c r="F1273" s="200" t="s">
        <v>1673</v>
      </c>
      <c r="G1273" s="35">
        <v>421100</v>
      </c>
      <c r="H1273" s="4" t="s">
        <v>894</v>
      </c>
      <c r="I1273" s="435">
        <v>40000</v>
      </c>
      <c r="J1273" s="435">
        <v>40000</v>
      </c>
      <c r="K1273" s="435">
        <v>12000</v>
      </c>
      <c r="L1273" s="517"/>
    </row>
    <row r="1274" spans="1:12" ht="12.75">
      <c r="A1274" s="82"/>
      <c r="B1274" s="82"/>
      <c r="C1274" s="83"/>
      <c r="D1274" s="270"/>
      <c r="E1274" s="83"/>
      <c r="F1274" s="200" t="s">
        <v>1674</v>
      </c>
      <c r="G1274" s="35">
        <v>421200</v>
      </c>
      <c r="H1274" s="4" t="s">
        <v>920</v>
      </c>
      <c r="I1274" s="435">
        <v>300000</v>
      </c>
      <c r="J1274" s="435">
        <v>300000</v>
      </c>
      <c r="K1274" s="435">
        <v>18063.2</v>
      </c>
      <c r="L1274" s="517"/>
    </row>
    <row r="1275" spans="1:12" ht="12.75">
      <c r="A1275" s="82"/>
      <c r="B1275" s="82"/>
      <c r="C1275" s="83"/>
      <c r="D1275" s="270"/>
      <c r="E1275" s="83"/>
      <c r="F1275" s="200" t="s">
        <v>1675</v>
      </c>
      <c r="G1275" s="524">
        <v>421300</v>
      </c>
      <c r="H1275" s="5" t="s">
        <v>896</v>
      </c>
      <c r="I1275" s="435">
        <v>120000</v>
      </c>
      <c r="J1275" s="435">
        <v>120000</v>
      </c>
      <c r="K1275" s="435">
        <v>39400.78</v>
      </c>
      <c r="L1275" s="517"/>
    </row>
    <row r="1276" spans="1:12" ht="12.75">
      <c r="A1276" s="82"/>
      <c r="B1276" s="82"/>
      <c r="C1276" s="83"/>
      <c r="D1276" s="270"/>
      <c r="E1276" s="83"/>
      <c r="F1276" s="200" t="s">
        <v>1676</v>
      </c>
      <c r="G1276" s="35">
        <v>421400</v>
      </c>
      <c r="H1276" s="5" t="s">
        <v>883</v>
      </c>
      <c r="I1276" s="435">
        <v>38000</v>
      </c>
      <c r="J1276" s="435">
        <v>38000</v>
      </c>
      <c r="K1276" s="435">
        <v>14248.14</v>
      </c>
      <c r="L1276" s="517"/>
    </row>
    <row r="1277" spans="1:12" ht="12.75">
      <c r="A1277" s="82"/>
      <c r="B1277" s="82"/>
      <c r="C1277" s="83"/>
      <c r="D1277" s="270"/>
      <c r="E1277" s="83"/>
      <c r="F1277" s="200" t="s">
        <v>1677</v>
      </c>
      <c r="G1277" s="35">
        <v>421500</v>
      </c>
      <c r="H1277" s="4" t="s">
        <v>897</v>
      </c>
      <c r="I1277" s="435">
        <v>50000</v>
      </c>
      <c r="J1277" s="435">
        <v>50000</v>
      </c>
      <c r="K1277" s="435">
        <v>0</v>
      </c>
      <c r="L1277" s="517"/>
    </row>
    <row r="1278" spans="1:12" s="22" customFormat="1" ht="13.5">
      <c r="A1278" s="88"/>
      <c r="B1278" s="88"/>
      <c r="C1278" s="83"/>
      <c r="D1278" s="270"/>
      <c r="E1278" s="89"/>
      <c r="F1278" s="200" t="s">
        <v>1678</v>
      </c>
      <c r="G1278" s="54">
        <v>422000</v>
      </c>
      <c r="H1278" s="20" t="s">
        <v>793</v>
      </c>
      <c r="I1278" s="434">
        <f>I1279+I1280</f>
        <v>260000</v>
      </c>
      <c r="J1278" s="434">
        <f>J1279+J1280</f>
        <v>260000</v>
      </c>
      <c r="K1278" s="434">
        <f>K1279+K1280</f>
        <v>108159</v>
      </c>
      <c r="L1278" s="517"/>
    </row>
    <row r="1279" spans="1:12" ht="12.75">
      <c r="A1279" s="86"/>
      <c r="B1279" s="86"/>
      <c r="C1279" s="83"/>
      <c r="D1279" s="270"/>
      <c r="E1279" s="87"/>
      <c r="F1279" s="200" t="s">
        <v>1679</v>
      </c>
      <c r="G1279" s="524">
        <v>422100</v>
      </c>
      <c r="H1279" s="5" t="s">
        <v>899</v>
      </c>
      <c r="I1279" s="435">
        <v>10000</v>
      </c>
      <c r="J1279" s="435">
        <v>10000</v>
      </c>
      <c r="K1279" s="435">
        <v>4571</v>
      </c>
      <c r="L1279" s="517"/>
    </row>
    <row r="1280" spans="1:12" ht="12.75">
      <c r="A1280" s="82"/>
      <c r="B1280" s="82"/>
      <c r="C1280" s="83"/>
      <c r="D1280" s="270"/>
      <c r="E1280" s="83"/>
      <c r="F1280" s="200" t="s">
        <v>1680</v>
      </c>
      <c r="G1280" s="35">
        <v>422400</v>
      </c>
      <c r="H1280" s="4" t="s">
        <v>921</v>
      </c>
      <c r="I1280" s="435">
        <v>250000</v>
      </c>
      <c r="J1280" s="435">
        <v>250000</v>
      </c>
      <c r="K1280" s="435">
        <v>103588</v>
      </c>
      <c r="L1280" s="517"/>
    </row>
    <row r="1281" spans="1:12" s="22" customFormat="1" ht="13.5">
      <c r="A1281" s="88"/>
      <c r="B1281" s="88"/>
      <c r="C1281" s="83"/>
      <c r="D1281" s="270"/>
      <c r="E1281" s="89"/>
      <c r="F1281" s="200" t="s">
        <v>1681</v>
      </c>
      <c r="G1281" s="54">
        <v>423000</v>
      </c>
      <c r="H1281" s="20" t="s">
        <v>794</v>
      </c>
      <c r="I1281" s="434">
        <f>I1282+I1283</f>
        <v>70000</v>
      </c>
      <c r="J1281" s="434">
        <f>J1282+J1283</f>
        <v>70000</v>
      </c>
      <c r="K1281" s="434">
        <f>K1282+K1283</f>
        <v>8000</v>
      </c>
      <c r="L1281" s="517"/>
    </row>
    <row r="1282" spans="1:12" s="44" customFormat="1" ht="12.75">
      <c r="A1282" s="209"/>
      <c r="B1282" s="209"/>
      <c r="C1282" s="207"/>
      <c r="D1282" s="209"/>
      <c r="E1282" s="207"/>
      <c r="F1282" s="200" t="s">
        <v>1682</v>
      </c>
      <c r="G1282" s="35" t="s">
        <v>369</v>
      </c>
      <c r="H1282" s="4" t="s">
        <v>901</v>
      </c>
      <c r="I1282" s="435">
        <v>20000</v>
      </c>
      <c r="J1282" s="435">
        <v>20000</v>
      </c>
      <c r="K1282" s="435">
        <v>0</v>
      </c>
      <c r="L1282" s="517"/>
    </row>
    <row r="1283" spans="1:12" ht="12.75">
      <c r="A1283" s="82"/>
      <c r="B1283" s="82"/>
      <c r="C1283" s="83"/>
      <c r="D1283" s="82"/>
      <c r="E1283" s="83"/>
      <c r="F1283" s="200" t="s">
        <v>1683</v>
      </c>
      <c r="G1283" s="524">
        <v>423300</v>
      </c>
      <c r="H1283" s="5" t="s">
        <v>902</v>
      </c>
      <c r="I1283" s="435">
        <v>50000</v>
      </c>
      <c r="J1283" s="435">
        <v>50000</v>
      </c>
      <c r="K1283" s="435">
        <v>8000</v>
      </c>
      <c r="L1283" s="517"/>
    </row>
    <row r="1284" spans="1:12" s="22" customFormat="1" ht="13.5">
      <c r="A1284" s="88"/>
      <c r="B1284" s="88"/>
      <c r="C1284" s="83"/>
      <c r="D1284" s="82"/>
      <c r="E1284" s="89"/>
      <c r="F1284" s="200" t="s">
        <v>1684</v>
      </c>
      <c r="G1284" s="529" t="s">
        <v>361</v>
      </c>
      <c r="H1284" s="41" t="s">
        <v>800</v>
      </c>
      <c r="I1284" s="434">
        <f>I1285+I1286</f>
        <v>35000</v>
      </c>
      <c r="J1284" s="434">
        <f>J1285+J1286</f>
        <v>35000</v>
      </c>
      <c r="K1284" s="436">
        <f>K1285+K1286</f>
        <v>16100</v>
      </c>
      <c r="L1284" s="517"/>
    </row>
    <row r="1285" spans="1:12" ht="12.75">
      <c r="A1285" s="82"/>
      <c r="B1285" s="82"/>
      <c r="C1285" s="83"/>
      <c r="D1285" s="82"/>
      <c r="E1285" s="83"/>
      <c r="F1285" s="200" t="s">
        <v>1685</v>
      </c>
      <c r="G1285" s="524" t="s">
        <v>362</v>
      </c>
      <c r="H1285" s="5" t="s">
        <v>235</v>
      </c>
      <c r="I1285" s="435">
        <v>5000</v>
      </c>
      <c r="J1285" s="435">
        <v>5000</v>
      </c>
      <c r="K1285" s="435">
        <v>1700</v>
      </c>
      <c r="L1285" s="517"/>
    </row>
    <row r="1286" spans="1:12" ht="12.75">
      <c r="A1286" s="82"/>
      <c r="B1286" s="82"/>
      <c r="C1286" s="83"/>
      <c r="D1286" s="82"/>
      <c r="E1286" s="83"/>
      <c r="F1286" s="200" t="s">
        <v>1686</v>
      </c>
      <c r="G1286" s="524" t="s">
        <v>615</v>
      </c>
      <c r="H1286" s="240" t="s">
        <v>590</v>
      </c>
      <c r="I1286" s="435">
        <v>30000</v>
      </c>
      <c r="J1286" s="435">
        <v>30000</v>
      </c>
      <c r="K1286" s="435">
        <v>14400</v>
      </c>
      <c r="L1286" s="517"/>
    </row>
    <row r="1287" spans="1:12" s="22" customFormat="1" ht="13.5">
      <c r="A1287" s="88"/>
      <c r="B1287" s="88"/>
      <c r="C1287" s="83"/>
      <c r="D1287" s="82"/>
      <c r="E1287" s="89"/>
      <c r="F1287" s="200" t="s">
        <v>1687</v>
      </c>
      <c r="G1287" s="528">
        <v>425000</v>
      </c>
      <c r="H1287" s="20" t="s">
        <v>797</v>
      </c>
      <c r="I1287" s="434">
        <f>I1288+I1289</f>
        <v>710000</v>
      </c>
      <c r="J1287" s="434">
        <f>J1288+J1289</f>
        <v>679500</v>
      </c>
      <c r="K1287" s="434">
        <f>K1288+K1289</f>
        <v>22757.3</v>
      </c>
      <c r="L1287" s="517"/>
    </row>
    <row r="1288" spans="1:12" ht="12.75">
      <c r="A1288" s="86"/>
      <c r="B1288" s="86"/>
      <c r="C1288" s="83"/>
      <c r="D1288" s="82"/>
      <c r="E1288" s="87"/>
      <c r="F1288" s="200" t="s">
        <v>1688</v>
      </c>
      <c r="G1288" s="524">
        <v>425100</v>
      </c>
      <c r="H1288" s="4" t="s">
        <v>909</v>
      </c>
      <c r="I1288" s="435">
        <v>610000</v>
      </c>
      <c r="J1288" s="688">
        <v>579500</v>
      </c>
      <c r="K1288" s="435">
        <v>22757.3</v>
      </c>
      <c r="L1288" s="517"/>
    </row>
    <row r="1289" spans="1:12" ht="12.75">
      <c r="A1289" s="86"/>
      <c r="B1289" s="86"/>
      <c r="C1289" s="83"/>
      <c r="D1289" s="82"/>
      <c r="E1289" s="87"/>
      <c r="F1289" s="200" t="s">
        <v>1689</v>
      </c>
      <c r="G1289" s="524" t="s">
        <v>617</v>
      </c>
      <c r="H1289" s="4" t="s">
        <v>910</v>
      </c>
      <c r="I1289" s="435">
        <v>100000</v>
      </c>
      <c r="J1289" s="435">
        <v>100000</v>
      </c>
      <c r="K1289" s="435">
        <v>0</v>
      </c>
      <c r="L1289" s="517"/>
    </row>
    <row r="1290" spans="1:12" s="22" customFormat="1" ht="13.5">
      <c r="A1290" s="88"/>
      <c r="B1290" s="88"/>
      <c r="C1290" s="83"/>
      <c r="D1290" s="82"/>
      <c r="E1290" s="89"/>
      <c r="F1290" s="200" t="s">
        <v>1690</v>
      </c>
      <c r="G1290" s="528">
        <v>426000</v>
      </c>
      <c r="H1290" s="20" t="s">
        <v>795</v>
      </c>
      <c r="I1290" s="434">
        <f>I1291+I1292+I1293+I1294</f>
        <v>145000</v>
      </c>
      <c r="J1290" s="434">
        <f>J1291+J1292+J1293+J1294</f>
        <v>145000</v>
      </c>
      <c r="K1290" s="434">
        <f>K1291+K1292+K1293+K1294</f>
        <v>33104</v>
      </c>
      <c r="L1290" s="517"/>
    </row>
    <row r="1291" spans="1:12" ht="12.75">
      <c r="A1291" s="86"/>
      <c r="B1291" s="86"/>
      <c r="C1291" s="83"/>
      <c r="D1291" s="82"/>
      <c r="E1291" s="87"/>
      <c r="F1291" s="200" t="s">
        <v>1691</v>
      </c>
      <c r="G1291" s="524">
        <v>426100</v>
      </c>
      <c r="H1291" s="4" t="s">
        <v>911</v>
      </c>
      <c r="I1291" s="435">
        <v>30000</v>
      </c>
      <c r="J1291" s="435">
        <v>30000</v>
      </c>
      <c r="K1291" s="435">
        <v>17980</v>
      </c>
      <c r="L1291" s="517"/>
    </row>
    <row r="1292" spans="1:12" ht="12.75">
      <c r="A1292" s="82"/>
      <c r="B1292" s="82"/>
      <c r="C1292" s="83"/>
      <c r="D1292" s="82"/>
      <c r="E1292" s="83"/>
      <c r="F1292" s="200" t="s">
        <v>1692</v>
      </c>
      <c r="G1292" s="524">
        <v>426300</v>
      </c>
      <c r="H1292" s="5" t="s">
        <v>922</v>
      </c>
      <c r="I1292" s="435">
        <v>55000</v>
      </c>
      <c r="J1292" s="435">
        <v>55000</v>
      </c>
      <c r="K1292" s="435">
        <v>0</v>
      </c>
      <c r="L1292" s="517"/>
    </row>
    <row r="1293" spans="1:12" ht="12.75">
      <c r="A1293" s="82"/>
      <c r="B1293" s="82"/>
      <c r="C1293" s="83"/>
      <c r="D1293" s="82"/>
      <c r="E1293" s="83"/>
      <c r="F1293" s="200" t="s">
        <v>1693</v>
      </c>
      <c r="G1293" s="524">
        <v>426600</v>
      </c>
      <c r="H1293" s="5" t="s">
        <v>923</v>
      </c>
      <c r="I1293" s="435">
        <v>30000</v>
      </c>
      <c r="J1293" s="435">
        <v>30000</v>
      </c>
      <c r="K1293" s="435">
        <v>0</v>
      </c>
      <c r="L1293" s="517"/>
    </row>
    <row r="1294" spans="1:12" ht="12.75">
      <c r="A1294" s="82"/>
      <c r="B1294" s="82"/>
      <c r="C1294" s="83"/>
      <c r="D1294" s="82"/>
      <c r="E1294" s="83"/>
      <c r="F1294" s="200" t="s">
        <v>1694</v>
      </c>
      <c r="G1294" s="524">
        <v>426800</v>
      </c>
      <c r="H1294" s="5" t="s">
        <v>913</v>
      </c>
      <c r="I1294" s="435">
        <v>30000</v>
      </c>
      <c r="J1294" s="435">
        <v>30000</v>
      </c>
      <c r="K1294" s="435">
        <v>15124</v>
      </c>
      <c r="L1294" s="517"/>
    </row>
    <row r="1295" spans="1:12" s="22" customFormat="1" ht="13.5">
      <c r="A1295" s="88"/>
      <c r="B1295" s="88"/>
      <c r="C1295" s="83"/>
      <c r="D1295" s="82"/>
      <c r="E1295" s="89"/>
      <c r="F1295" s="200" t="s">
        <v>1695</v>
      </c>
      <c r="G1295" s="54">
        <v>472000</v>
      </c>
      <c r="H1295" s="23" t="s">
        <v>810</v>
      </c>
      <c r="I1295" s="434">
        <f>I1296</f>
        <v>100000</v>
      </c>
      <c r="J1295" s="434">
        <f>J1296</f>
        <v>130500</v>
      </c>
      <c r="K1295" s="434">
        <f>K1296</f>
        <v>87820</v>
      </c>
      <c r="L1295" s="517"/>
    </row>
    <row r="1296" spans="1:12" ht="25.5">
      <c r="A1296" s="86"/>
      <c r="B1296" s="86"/>
      <c r="C1296" s="83"/>
      <c r="D1296" s="82"/>
      <c r="E1296" s="87"/>
      <c r="F1296" s="200" t="s">
        <v>1696</v>
      </c>
      <c r="G1296" s="524">
        <v>472700</v>
      </c>
      <c r="H1296" s="4" t="s">
        <v>926</v>
      </c>
      <c r="I1296" s="435">
        <v>100000</v>
      </c>
      <c r="J1296" s="435">
        <v>130500</v>
      </c>
      <c r="K1296" s="435">
        <v>87820</v>
      </c>
      <c r="L1296" s="517"/>
    </row>
    <row r="1297" spans="1:12" ht="13.5" thickBot="1">
      <c r="A1297" s="86"/>
      <c r="B1297" s="86"/>
      <c r="C1297" s="83"/>
      <c r="D1297" s="82"/>
      <c r="E1297" s="87"/>
      <c r="F1297" s="200"/>
      <c r="G1297" s="524"/>
      <c r="H1297" s="726"/>
      <c r="I1297" s="435"/>
      <c r="J1297" s="435"/>
      <c r="K1297" s="435"/>
      <c r="L1297" s="517"/>
    </row>
    <row r="1298" spans="1:12" s="36" customFormat="1" ht="13.5" thickBot="1">
      <c r="A1298" s="82"/>
      <c r="B1298" s="82"/>
      <c r="C1298" s="83"/>
      <c r="D1298" s="82"/>
      <c r="E1298" s="83"/>
      <c r="F1298" s="200"/>
      <c r="G1298" s="524"/>
      <c r="H1298" s="127" t="s">
        <v>1476</v>
      </c>
      <c r="I1298" s="481">
        <f>I1295+I1290+I1287+I1284+I1281+I1278+I1272+I1270+I1268+I1266</f>
        <v>3253000</v>
      </c>
      <c r="J1298" s="481">
        <f>J1295+J1290+J1287+J1284+J1281+J1278+J1272+J1270+J1268+J1266</f>
        <v>3253000</v>
      </c>
      <c r="K1298" s="603">
        <f>K1266+K1268+K1272+K1278+K1281+K1284+K1287+K1290+K1295+K1270</f>
        <v>824942.7100000001</v>
      </c>
      <c r="L1298" s="517"/>
    </row>
    <row r="1299" spans="1:12" s="36" customFormat="1" ht="12.75">
      <c r="A1299" s="86"/>
      <c r="B1299" s="86"/>
      <c r="C1299" s="83"/>
      <c r="D1299" s="82"/>
      <c r="E1299" s="87"/>
      <c r="F1299" s="200"/>
      <c r="G1299" s="35"/>
      <c r="H1299" s="99"/>
      <c r="I1299" s="435"/>
      <c r="J1299" s="435"/>
      <c r="K1299" s="435"/>
      <c r="L1299" s="517"/>
    </row>
    <row r="1300" spans="1:12" s="36" customFormat="1" ht="12.75">
      <c r="A1300" s="82"/>
      <c r="B1300" s="82"/>
      <c r="C1300" s="83"/>
      <c r="D1300" s="82"/>
      <c r="E1300" s="83"/>
      <c r="F1300" s="200"/>
      <c r="G1300" s="35"/>
      <c r="H1300" s="128"/>
      <c r="I1300" s="436"/>
      <c r="J1300" s="436"/>
      <c r="K1300" s="436"/>
      <c r="L1300" s="517"/>
    </row>
    <row r="1301" spans="1:12" s="22" customFormat="1" ht="12.75" customHeight="1">
      <c r="A1301" s="100"/>
      <c r="B1301" s="100"/>
      <c r="C1301" s="217"/>
      <c r="D1301" s="268" t="s">
        <v>544</v>
      </c>
      <c r="E1301" s="101"/>
      <c r="F1301" s="199"/>
      <c r="G1301" s="543"/>
      <c r="H1301" s="102" t="s">
        <v>542</v>
      </c>
      <c r="I1301" s="468"/>
      <c r="J1301" s="468"/>
      <c r="K1301" s="468"/>
      <c r="L1301" s="517"/>
    </row>
    <row r="1302" spans="1:12" s="22" customFormat="1" ht="17.25" customHeight="1">
      <c r="A1302" s="88"/>
      <c r="B1302" s="117"/>
      <c r="C1302" s="218"/>
      <c r="D1302" s="269" t="s">
        <v>545</v>
      </c>
      <c r="E1302" s="118"/>
      <c r="F1302" s="203"/>
      <c r="G1302" s="544"/>
      <c r="H1302" s="131" t="s">
        <v>543</v>
      </c>
      <c r="I1302" s="469"/>
      <c r="J1302" s="469"/>
      <c r="K1302" s="469"/>
      <c r="L1302" s="517"/>
    </row>
    <row r="1303" spans="1:12" s="22" customFormat="1" ht="12.75">
      <c r="A1303" s="88"/>
      <c r="B1303" s="88"/>
      <c r="C1303" s="83"/>
      <c r="D1303" s="270"/>
      <c r="E1303" s="89" t="s">
        <v>687</v>
      </c>
      <c r="F1303" s="200"/>
      <c r="G1303" s="527"/>
      <c r="H1303" s="90" t="s">
        <v>692</v>
      </c>
      <c r="I1303" s="461"/>
      <c r="J1303" s="461"/>
      <c r="K1303" s="461"/>
      <c r="L1303" s="517"/>
    </row>
    <row r="1304" spans="1:12" s="22" customFormat="1" ht="13.5">
      <c r="A1304" s="88"/>
      <c r="B1304" s="88"/>
      <c r="C1304" s="83"/>
      <c r="D1304" s="270"/>
      <c r="E1304" s="89"/>
      <c r="F1304" s="200" t="s">
        <v>1697</v>
      </c>
      <c r="G1304" s="535">
        <v>413000</v>
      </c>
      <c r="H1304" s="242" t="s">
        <v>824</v>
      </c>
      <c r="I1304" s="454">
        <f>I1305</f>
        <v>1320000</v>
      </c>
      <c r="J1304" s="454">
        <f>J1305</f>
        <v>1320000</v>
      </c>
      <c r="K1304" s="454">
        <f>K1305</f>
        <v>590911.41</v>
      </c>
      <c r="L1304" s="517"/>
    </row>
    <row r="1305" spans="1:12" ht="12.75">
      <c r="A1305" s="86"/>
      <c r="B1305" s="86"/>
      <c r="C1305" s="83"/>
      <c r="D1305" s="270"/>
      <c r="E1305" s="87"/>
      <c r="F1305" s="200" t="s">
        <v>1698</v>
      </c>
      <c r="G1305" s="536">
        <v>413100</v>
      </c>
      <c r="H1305" s="245" t="s">
        <v>824</v>
      </c>
      <c r="I1305" s="435">
        <v>1320000</v>
      </c>
      <c r="J1305" s="435">
        <v>1320000</v>
      </c>
      <c r="K1305" s="435">
        <v>590911.41</v>
      </c>
      <c r="L1305" s="517"/>
    </row>
    <row r="1306" spans="1:12" s="22" customFormat="1" ht="13.5">
      <c r="A1306" s="88"/>
      <c r="B1306" s="88"/>
      <c r="C1306" s="83"/>
      <c r="D1306" s="270"/>
      <c r="E1306" s="89"/>
      <c r="F1306" s="200" t="s">
        <v>1699</v>
      </c>
      <c r="G1306" s="535">
        <v>415000</v>
      </c>
      <c r="H1306" s="242" t="s">
        <v>852</v>
      </c>
      <c r="I1306" s="454">
        <f>I1307</f>
        <v>1430000</v>
      </c>
      <c r="J1306" s="454">
        <f>J1307</f>
        <v>1430000</v>
      </c>
      <c r="K1306" s="454">
        <f>K1307</f>
        <v>614199</v>
      </c>
      <c r="L1306" s="517"/>
    </row>
    <row r="1307" spans="1:12" ht="12.75">
      <c r="A1307" s="86"/>
      <c r="B1307" s="86"/>
      <c r="C1307" s="83"/>
      <c r="D1307" s="270"/>
      <c r="E1307" s="87"/>
      <c r="F1307" s="200" t="s">
        <v>1700</v>
      </c>
      <c r="G1307" s="536">
        <v>415100</v>
      </c>
      <c r="H1307" s="245" t="s">
        <v>852</v>
      </c>
      <c r="I1307" s="455">
        <v>1430000</v>
      </c>
      <c r="J1307" s="455">
        <v>1430000</v>
      </c>
      <c r="K1307" s="455">
        <v>614199</v>
      </c>
      <c r="L1307" s="517"/>
    </row>
    <row r="1308" spans="1:12" s="22" customFormat="1" ht="13.5">
      <c r="A1308" s="88"/>
      <c r="B1308" s="88"/>
      <c r="C1308" s="83"/>
      <c r="D1308" s="270"/>
      <c r="E1308" s="89"/>
      <c r="F1308" s="200" t="s">
        <v>1701</v>
      </c>
      <c r="G1308" s="54">
        <v>416000</v>
      </c>
      <c r="H1308" s="20" t="s">
        <v>853</v>
      </c>
      <c r="I1308" s="434">
        <f>I1309</f>
        <v>100000</v>
      </c>
      <c r="J1308" s="434">
        <f>J1309</f>
        <v>100000</v>
      </c>
      <c r="K1308" s="434">
        <f>K1309</f>
        <v>0</v>
      </c>
      <c r="L1308" s="517"/>
    </row>
    <row r="1309" spans="1:12" ht="12.75">
      <c r="A1309" s="86"/>
      <c r="B1309" s="86"/>
      <c r="C1309" s="83"/>
      <c r="D1309" s="270"/>
      <c r="E1309" s="87"/>
      <c r="F1309" s="200" t="s">
        <v>1702</v>
      </c>
      <c r="G1309" s="35">
        <v>416100</v>
      </c>
      <c r="H1309" s="4" t="s">
        <v>853</v>
      </c>
      <c r="I1309" s="435">
        <v>100000</v>
      </c>
      <c r="J1309" s="435">
        <v>100000</v>
      </c>
      <c r="K1309" s="435">
        <v>0</v>
      </c>
      <c r="L1309" s="517"/>
    </row>
    <row r="1310" spans="1:12" s="22" customFormat="1" ht="13.5">
      <c r="A1310" s="88"/>
      <c r="B1310" s="88"/>
      <c r="C1310" s="83"/>
      <c r="D1310" s="270"/>
      <c r="E1310" s="89"/>
      <c r="F1310" s="200" t="s">
        <v>1703</v>
      </c>
      <c r="G1310" s="54">
        <v>421000</v>
      </c>
      <c r="H1310" s="20" t="s">
        <v>799</v>
      </c>
      <c r="I1310" s="434">
        <f>I1311+I1312+I1313+I1314</f>
        <v>250000</v>
      </c>
      <c r="J1310" s="434">
        <f>J1311+J1312+J1313+J1314</f>
        <v>250000</v>
      </c>
      <c r="K1310" s="434">
        <f>K1311+K1312+K1313+K1314</f>
        <v>62031.53</v>
      </c>
      <c r="L1310" s="517"/>
    </row>
    <row r="1311" spans="1:12" ht="12.75">
      <c r="A1311" s="86"/>
      <c r="B1311" s="86"/>
      <c r="C1311" s="83"/>
      <c r="D1311" s="270"/>
      <c r="E1311" s="87"/>
      <c r="F1311" s="200" t="s">
        <v>1704</v>
      </c>
      <c r="G1311" s="35">
        <v>421100</v>
      </c>
      <c r="H1311" s="4" t="s">
        <v>894</v>
      </c>
      <c r="I1311" s="435">
        <v>80000</v>
      </c>
      <c r="J1311" s="435">
        <v>80000</v>
      </c>
      <c r="K1311" s="435">
        <v>22981.9</v>
      </c>
      <c r="L1311" s="517"/>
    </row>
    <row r="1312" spans="1:12" ht="12.75">
      <c r="A1312" s="82"/>
      <c r="B1312" s="82"/>
      <c r="C1312" s="83"/>
      <c r="D1312" s="270"/>
      <c r="E1312" s="83"/>
      <c r="F1312" s="200" t="s">
        <v>1705</v>
      </c>
      <c r="G1312" s="524">
        <v>421300</v>
      </c>
      <c r="H1312" s="5" t="s">
        <v>896</v>
      </c>
      <c r="I1312" s="435">
        <v>70000</v>
      </c>
      <c r="J1312" s="435">
        <v>70000</v>
      </c>
      <c r="K1312" s="435">
        <v>16862.43</v>
      </c>
      <c r="L1312" s="517"/>
    </row>
    <row r="1313" spans="1:12" ht="12.75">
      <c r="A1313" s="82"/>
      <c r="B1313" s="82"/>
      <c r="C1313" s="83"/>
      <c r="D1313" s="270"/>
      <c r="E1313" s="83"/>
      <c r="F1313" s="200" t="s">
        <v>1706</v>
      </c>
      <c r="G1313" s="35">
        <v>421400</v>
      </c>
      <c r="H1313" s="5" t="s">
        <v>883</v>
      </c>
      <c r="I1313" s="435">
        <v>80000</v>
      </c>
      <c r="J1313" s="435">
        <v>80000</v>
      </c>
      <c r="K1313" s="435">
        <v>22187.2</v>
      </c>
      <c r="L1313" s="517"/>
    </row>
    <row r="1314" spans="1:12" ht="12.75">
      <c r="A1314" s="82"/>
      <c r="B1314" s="82"/>
      <c r="C1314" s="83"/>
      <c r="D1314" s="270"/>
      <c r="E1314" s="83"/>
      <c r="F1314" s="200" t="s">
        <v>1707</v>
      </c>
      <c r="G1314" s="35">
        <v>421500</v>
      </c>
      <c r="H1314" s="4" t="s">
        <v>897</v>
      </c>
      <c r="I1314" s="435">
        <v>20000</v>
      </c>
      <c r="J1314" s="435">
        <v>20000</v>
      </c>
      <c r="K1314" s="435">
        <v>0</v>
      </c>
      <c r="L1314" s="517"/>
    </row>
    <row r="1315" spans="1:12" s="22" customFormat="1" ht="13.5">
      <c r="A1315" s="88"/>
      <c r="B1315" s="88"/>
      <c r="C1315" s="83"/>
      <c r="D1315" s="270"/>
      <c r="E1315" s="89"/>
      <c r="F1315" s="200" t="s">
        <v>1708</v>
      </c>
      <c r="G1315" s="54">
        <v>422000</v>
      </c>
      <c r="H1315" s="20" t="s">
        <v>793</v>
      </c>
      <c r="I1315" s="434">
        <f>I1316</f>
        <v>60000</v>
      </c>
      <c r="J1315" s="434">
        <f>J1316</f>
        <v>60000</v>
      </c>
      <c r="K1315" s="434">
        <f>K1316</f>
        <v>0</v>
      </c>
      <c r="L1315" s="517"/>
    </row>
    <row r="1316" spans="1:12" ht="12.75">
      <c r="A1316" s="86"/>
      <c r="B1316" s="86"/>
      <c r="C1316" s="83"/>
      <c r="D1316" s="270"/>
      <c r="E1316" s="87"/>
      <c r="F1316" s="200" t="s">
        <v>29</v>
      </c>
      <c r="G1316" s="35">
        <v>422100</v>
      </c>
      <c r="H1316" s="4" t="s">
        <v>899</v>
      </c>
      <c r="I1316" s="435">
        <v>60000</v>
      </c>
      <c r="J1316" s="435">
        <v>60000</v>
      </c>
      <c r="K1316" s="435">
        <v>0</v>
      </c>
      <c r="L1316" s="517"/>
    </row>
    <row r="1317" spans="1:12" s="22" customFormat="1" ht="13.5">
      <c r="A1317" s="88"/>
      <c r="B1317" s="88"/>
      <c r="C1317" s="83"/>
      <c r="D1317" s="270"/>
      <c r="E1317" s="89"/>
      <c r="F1317" s="200" t="s">
        <v>30</v>
      </c>
      <c r="G1317" s="54">
        <v>423000</v>
      </c>
      <c r="H1317" s="20" t="s">
        <v>794</v>
      </c>
      <c r="I1317" s="434">
        <f>I1318+I1319</f>
        <v>130000</v>
      </c>
      <c r="J1317" s="434">
        <f>J1318+J1319</f>
        <v>130000</v>
      </c>
      <c r="K1317" s="434">
        <f>K1318+K1319</f>
        <v>0</v>
      </c>
      <c r="L1317" s="517"/>
    </row>
    <row r="1318" spans="1:12" s="22" customFormat="1" ht="12.75">
      <c r="A1318" s="88"/>
      <c r="B1318" s="88"/>
      <c r="C1318" s="83"/>
      <c r="D1318" s="270"/>
      <c r="E1318" s="89"/>
      <c r="F1318" s="200"/>
      <c r="G1318" s="35" t="s">
        <v>369</v>
      </c>
      <c r="H1318" s="4" t="s">
        <v>901</v>
      </c>
      <c r="I1318" s="435">
        <v>60000</v>
      </c>
      <c r="J1318" s="435">
        <v>60000</v>
      </c>
      <c r="K1318" s="435">
        <v>0</v>
      </c>
      <c r="L1318" s="517"/>
    </row>
    <row r="1319" spans="1:12" ht="12.75">
      <c r="A1319" s="86"/>
      <c r="B1319" s="86"/>
      <c r="C1319" s="83"/>
      <c r="D1319" s="270"/>
      <c r="E1319" s="87"/>
      <c r="F1319" s="200" t="s">
        <v>31</v>
      </c>
      <c r="G1319" s="524">
        <v>423300</v>
      </c>
      <c r="H1319" s="5" t="s">
        <v>902</v>
      </c>
      <c r="I1319" s="435">
        <v>70000</v>
      </c>
      <c r="J1319" s="435">
        <v>70000</v>
      </c>
      <c r="K1319" s="435">
        <v>0</v>
      </c>
      <c r="L1319" s="517"/>
    </row>
    <row r="1320" spans="1:12" s="22" customFormat="1" ht="13.5">
      <c r="A1320" s="88"/>
      <c r="B1320" s="88"/>
      <c r="C1320" s="83"/>
      <c r="D1320" s="270"/>
      <c r="E1320" s="89"/>
      <c r="F1320" s="200" t="s">
        <v>32</v>
      </c>
      <c r="G1320" s="529" t="s">
        <v>361</v>
      </c>
      <c r="H1320" s="41" t="s">
        <v>800</v>
      </c>
      <c r="I1320" s="434">
        <f>I1321</f>
        <v>30000</v>
      </c>
      <c r="J1320" s="434">
        <f>J1321</f>
        <v>30000</v>
      </c>
      <c r="K1320" s="434">
        <f>K1321</f>
        <v>14400</v>
      </c>
      <c r="L1320" s="517"/>
    </row>
    <row r="1321" spans="1:12" ht="12.75">
      <c r="A1321" s="82"/>
      <c r="B1321" s="82"/>
      <c r="C1321" s="83"/>
      <c r="D1321" s="270"/>
      <c r="E1321" s="83"/>
      <c r="F1321" s="200" t="s">
        <v>33</v>
      </c>
      <c r="G1321" s="524" t="s">
        <v>615</v>
      </c>
      <c r="H1321" s="240" t="s">
        <v>590</v>
      </c>
      <c r="I1321" s="435">
        <v>30000</v>
      </c>
      <c r="J1321" s="435">
        <v>30000</v>
      </c>
      <c r="K1321" s="435">
        <v>14400</v>
      </c>
      <c r="L1321" s="517"/>
    </row>
    <row r="1322" spans="1:12" s="22" customFormat="1" ht="13.5">
      <c r="A1322" s="88"/>
      <c r="B1322" s="88"/>
      <c r="C1322" s="83"/>
      <c r="D1322" s="270"/>
      <c r="E1322" s="89"/>
      <c r="F1322" s="200" t="s">
        <v>34</v>
      </c>
      <c r="G1322" s="528">
        <v>425000</v>
      </c>
      <c r="H1322" s="20" t="s">
        <v>797</v>
      </c>
      <c r="I1322" s="434">
        <f>I1323+I1324</f>
        <v>500000</v>
      </c>
      <c r="J1322" s="434">
        <f>J1323+J1324</f>
        <v>500000</v>
      </c>
      <c r="K1322" s="434">
        <f>K1323+K1324</f>
        <v>158899.38999999998</v>
      </c>
      <c r="L1322" s="517"/>
    </row>
    <row r="1323" spans="1:12" ht="12.75">
      <c r="A1323" s="86"/>
      <c r="B1323" s="86"/>
      <c r="C1323" s="83"/>
      <c r="D1323" s="270"/>
      <c r="E1323" s="87"/>
      <c r="F1323" s="200" t="s">
        <v>35</v>
      </c>
      <c r="G1323" s="524">
        <v>425100</v>
      </c>
      <c r="H1323" s="4" t="s">
        <v>909</v>
      </c>
      <c r="I1323" s="435">
        <v>200000</v>
      </c>
      <c r="J1323" s="435">
        <v>200000</v>
      </c>
      <c r="K1323" s="435">
        <v>49059.6</v>
      </c>
      <c r="L1323" s="517"/>
    </row>
    <row r="1324" spans="1:12" ht="12.75">
      <c r="A1324" s="82"/>
      <c r="B1324" s="82"/>
      <c r="C1324" s="83"/>
      <c r="D1324" s="270"/>
      <c r="E1324" s="83"/>
      <c r="F1324" s="200" t="s">
        <v>36</v>
      </c>
      <c r="G1324" s="524">
        <v>425200</v>
      </c>
      <c r="H1324" s="4" t="s">
        <v>910</v>
      </c>
      <c r="I1324" s="435">
        <v>300000</v>
      </c>
      <c r="J1324" s="435">
        <v>300000</v>
      </c>
      <c r="K1324" s="435">
        <v>109839.79</v>
      </c>
      <c r="L1324" s="517"/>
    </row>
    <row r="1325" spans="1:12" s="22" customFormat="1" ht="13.5">
      <c r="A1325" s="88"/>
      <c r="B1325" s="88"/>
      <c r="C1325" s="83"/>
      <c r="D1325" s="270"/>
      <c r="E1325" s="89"/>
      <c r="F1325" s="200" t="s">
        <v>37</v>
      </c>
      <c r="G1325" s="528">
        <v>426000</v>
      </c>
      <c r="H1325" s="20" t="s">
        <v>795</v>
      </c>
      <c r="I1325" s="434">
        <f>I1326+I1327</f>
        <v>130000</v>
      </c>
      <c r="J1325" s="434">
        <f>J1326+J1327</f>
        <v>130000</v>
      </c>
      <c r="K1325" s="434">
        <f>K1326+K1327</f>
        <v>54499</v>
      </c>
      <c r="L1325" s="517"/>
    </row>
    <row r="1326" spans="1:12" ht="12.75">
      <c r="A1326" s="86"/>
      <c r="B1326" s="86"/>
      <c r="C1326" s="83"/>
      <c r="D1326" s="270"/>
      <c r="E1326" s="87"/>
      <c r="F1326" s="200" t="s">
        <v>38</v>
      </c>
      <c r="G1326" s="524">
        <v>426100</v>
      </c>
      <c r="H1326" s="4" t="s">
        <v>911</v>
      </c>
      <c r="I1326" s="435">
        <v>70000</v>
      </c>
      <c r="J1326" s="435">
        <v>70000</v>
      </c>
      <c r="K1326" s="435">
        <v>23624</v>
      </c>
      <c r="L1326" s="517"/>
    </row>
    <row r="1327" spans="1:12" ht="12.75">
      <c r="A1327" s="82"/>
      <c r="B1327" s="82"/>
      <c r="C1327" s="83"/>
      <c r="D1327" s="270"/>
      <c r="E1327" s="83"/>
      <c r="F1327" s="200" t="s">
        <v>39</v>
      </c>
      <c r="G1327" s="524">
        <v>426800</v>
      </c>
      <c r="H1327" s="5" t="s">
        <v>913</v>
      </c>
      <c r="I1327" s="435">
        <v>60000</v>
      </c>
      <c r="J1327" s="435">
        <v>60000</v>
      </c>
      <c r="K1327" s="435">
        <v>30875</v>
      </c>
      <c r="L1327" s="517"/>
    </row>
    <row r="1328" spans="1:12" ht="13.5">
      <c r="A1328" s="82"/>
      <c r="B1328" s="82"/>
      <c r="C1328" s="83"/>
      <c r="D1328" s="270"/>
      <c r="E1328" s="83"/>
      <c r="F1328" s="200"/>
      <c r="G1328" s="529" t="s">
        <v>521</v>
      </c>
      <c r="H1328" s="41" t="s">
        <v>932</v>
      </c>
      <c r="I1328" s="434">
        <f>I1329</f>
        <v>300000</v>
      </c>
      <c r="J1328" s="434">
        <f>J1329</f>
        <v>300000</v>
      </c>
      <c r="K1328" s="434">
        <f>K1329</f>
        <v>66590.5</v>
      </c>
      <c r="L1328" s="517"/>
    </row>
    <row r="1329" spans="1:12" ht="15" customHeight="1">
      <c r="A1329" s="82"/>
      <c r="B1329" s="82"/>
      <c r="C1329" s="83"/>
      <c r="D1329" s="270"/>
      <c r="E1329" s="83"/>
      <c r="F1329" s="200"/>
      <c r="G1329" s="524" t="s">
        <v>613</v>
      </c>
      <c r="H1329" s="5" t="s">
        <v>1635</v>
      </c>
      <c r="I1329" s="435">
        <v>300000</v>
      </c>
      <c r="J1329" s="435">
        <v>300000</v>
      </c>
      <c r="K1329" s="435">
        <v>66590.5</v>
      </c>
      <c r="L1329" s="517"/>
    </row>
    <row r="1330" spans="1:12" ht="15" customHeight="1">
      <c r="A1330" s="82"/>
      <c r="B1330" s="82"/>
      <c r="C1330" s="83"/>
      <c r="D1330" s="270"/>
      <c r="E1330" s="83"/>
      <c r="F1330" s="200"/>
      <c r="G1330" s="528" t="s">
        <v>618</v>
      </c>
      <c r="H1330" s="23" t="s">
        <v>719</v>
      </c>
      <c r="I1330" s="434">
        <f>I1331</f>
        <v>100000</v>
      </c>
      <c r="J1330" s="434">
        <f>J1331</f>
        <v>100000</v>
      </c>
      <c r="K1330" s="434">
        <f>K1331</f>
        <v>27346.23</v>
      </c>
      <c r="L1330" s="517"/>
    </row>
    <row r="1331" spans="1:12" ht="15" customHeight="1">
      <c r="A1331" s="82"/>
      <c r="B1331" s="82"/>
      <c r="C1331" s="83"/>
      <c r="D1331" s="270"/>
      <c r="E1331" s="83"/>
      <c r="F1331" s="200"/>
      <c r="G1331" s="524" t="s">
        <v>614</v>
      </c>
      <c r="H1331" s="5" t="s">
        <v>719</v>
      </c>
      <c r="I1331" s="435">
        <v>100000</v>
      </c>
      <c r="J1331" s="435">
        <v>100000</v>
      </c>
      <c r="K1331" s="435">
        <v>27346.23</v>
      </c>
      <c r="L1331" s="517"/>
    </row>
    <row r="1332" spans="1:12" ht="15" customHeight="1" thickBot="1">
      <c r="A1332" s="82"/>
      <c r="B1332" s="82"/>
      <c r="C1332" s="83"/>
      <c r="D1332" s="270"/>
      <c r="E1332" s="83"/>
      <c r="F1332" s="200"/>
      <c r="G1332" s="524"/>
      <c r="H1332" s="727"/>
      <c r="I1332" s="435"/>
      <c r="J1332" s="435"/>
      <c r="K1332" s="435"/>
      <c r="L1332" s="517"/>
    </row>
    <row r="1333" spans="1:12" s="36" customFormat="1" ht="13.5" thickBot="1">
      <c r="A1333" s="82"/>
      <c r="B1333" s="82"/>
      <c r="C1333" s="83"/>
      <c r="D1333" s="270"/>
      <c r="E1333" s="83"/>
      <c r="F1333" s="200"/>
      <c r="G1333" s="35"/>
      <c r="H1333" s="127" t="s">
        <v>843</v>
      </c>
      <c r="I1333" s="481">
        <f>I1304+I1306+I1308+I1310+I1315+I1317+I1320+I1322+I1325+I1328+I1330</f>
        <v>4350000</v>
      </c>
      <c r="J1333" s="481">
        <f>J1304+J1306+J1308+J1310+J1315+J1317+J1320+J1322+J1325+J1328+J1330</f>
        <v>4350000</v>
      </c>
      <c r="K1333" s="603">
        <f>K1304+K1306+K1310+K1315+K1317+K1320+K1322+K1325+K1328+K1330</f>
        <v>1588877.06</v>
      </c>
      <c r="L1333" s="517"/>
    </row>
    <row r="1334" spans="1:12" ht="12.75">
      <c r="A1334" s="86"/>
      <c r="B1334" s="86"/>
      <c r="C1334" s="83"/>
      <c r="D1334" s="270"/>
      <c r="E1334" s="87"/>
      <c r="F1334" s="200"/>
      <c r="G1334" s="524"/>
      <c r="H1334" s="6"/>
      <c r="I1334" s="435"/>
      <c r="J1334" s="435"/>
      <c r="K1334" s="435"/>
      <c r="L1334" s="517"/>
    </row>
    <row r="1335" spans="1:12" ht="12.75">
      <c r="A1335" s="728"/>
      <c r="B1335" s="728"/>
      <c r="C1335" s="217"/>
      <c r="D1335" s="273"/>
      <c r="E1335" s="729"/>
      <c r="F1335" s="199"/>
      <c r="G1335" s="547"/>
      <c r="H1335" s="730"/>
      <c r="I1335" s="522"/>
      <c r="J1335" s="522"/>
      <c r="K1335" s="522"/>
      <c r="L1335" s="517"/>
    </row>
    <row r="1336" spans="1:12" s="22" customFormat="1" ht="12.75" customHeight="1">
      <c r="A1336" s="100"/>
      <c r="B1336" s="100"/>
      <c r="C1336" s="217"/>
      <c r="D1336" s="268" t="s">
        <v>544</v>
      </c>
      <c r="E1336" s="101"/>
      <c r="F1336" s="199"/>
      <c r="G1336" s="543"/>
      <c r="H1336" s="102" t="s">
        <v>542</v>
      </c>
      <c r="I1336" s="468"/>
      <c r="J1336" s="468"/>
      <c r="K1336" s="468"/>
      <c r="L1336" s="517"/>
    </row>
    <row r="1337" spans="1:12" s="22" customFormat="1" ht="17.25" customHeight="1">
      <c r="A1337" s="88"/>
      <c r="B1337" s="117"/>
      <c r="C1337" s="218"/>
      <c r="D1337" s="269" t="s">
        <v>545</v>
      </c>
      <c r="E1337" s="118"/>
      <c r="F1337" s="203"/>
      <c r="G1337" s="544"/>
      <c r="H1337" s="131" t="s">
        <v>543</v>
      </c>
      <c r="I1337" s="469"/>
      <c r="J1337" s="469"/>
      <c r="K1337" s="469"/>
      <c r="L1337" s="517"/>
    </row>
    <row r="1338" spans="1:12" s="22" customFormat="1" ht="12.75">
      <c r="A1338" s="88"/>
      <c r="B1338" s="88"/>
      <c r="C1338" s="83"/>
      <c r="D1338" s="270"/>
      <c r="E1338" s="89"/>
      <c r="F1338" s="200"/>
      <c r="G1338" s="527"/>
      <c r="H1338" s="90" t="s">
        <v>693</v>
      </c>
      <c r="I1338" s="461"/>
      <c r="J1338" s="461"/>
      <c r="K1338" s="461"/>
      <c r="L1338" s="517"/>
    </row>
    <row r="1339" spans="1:12" s="22" customFormat="1" ht="13.5">
      <c r="A1339" s="88"/>
      <c r="B1339" s="88"/>
      <c r="C1339" s="83"/>
      <c r="D1339" s="270"/>
      <c r="E1339" s="89"/>
      <c r="F1339" s="200" t="s">
        <v>40</v>
      </c>
      <c r="G1339" s="535">
        <v>413000</v>
      </c>
      <c r="H1339" s="242" t="s">
        <v>824</v>
      </c>
      <c r="I1339" s="454">
        <f>I1340</f>
        <v>364600</v>
      </c>
      <c r="J1339" s="454">
        <f>J1340</f>
        <v>364600</v>
      </c>
      <c r="K1339" s="454">
        <f>K1340</f>
        <v>149342.82</v>
      </c>
      <c r="L1339" s="517"/>
    </row>
    <row r="1340" spans="1:12" ht="12.75">
      <c r="A1340" s="86"/>
      <c r="B1340" s="86"/>
      <c r="C1340" s="83"/>
      <c r="D1340" s="270"/>
      <c r="E1340" s="87"/>
      <c r="F1340" s="200" t="s">
        <v>41</v>
      </c>
      <c r="G1340" s="536">
        <v>413100</v>
      </c>
      <c r="H1340" s="245" t="s">
        <v>824</v>
      </c>
      <c r="I1340" s="435">
        <v>364600</v>
      </c>
      <c r="J1340" s="435">
        <v>364600</v>
      </c>
      <c r="K1340" s="435">
        <v>149342.82</v>
      </c>
      <c r="L1340" s="517"/>
    </row>
    <row r="1341" spans="1:12" s="22" customFormat="1" ht="13.5">
      <c r="A1341" s="88"/>
      <c r="B1341" s="88"/>
      <c r="C1341" s="83"/>
      <c r="D1341" s="270"/>
      <c r="E1341" s="89"/>
      <c r="F1341" s="200" t="s">
        <v>42</v>
      </c>
      <c r="G1341" s="535">
        <v>415000</v>
      </c>
      <c r="H1341" s="242" t="s">
        <v>852</v>
      </c>
      <c r="I1341" s="454">
        <f>I1342</f>
        <v>369600</v>
      </c>
      <c r="J1341" s="454">
        <f>J1342</f>
        <v>369600</v>
      </c>
      <c r="K1341" s="454">
        <f>K1342</f>
        <v>185492.81</v>
      </c>
      <c r="L1341" s="517"/>
    </row>
    <row r="1342" spans="1:12" ht="12.75">
      <c r="A1342" s="86"/>
      <c r="B1342" s="86"/>
      <c r="C1342" s="83"/>
      <c r="D1342" s="270"/>
      <c r="E1342" s="87"/>
      <c r="F1342" s="200" t="s">
        <v>43</v>
      </c>
      <c r="G1342" s="536">
        <v>415100</v>
      </c>
      <c r="H1342" s="245" t="s">
        <v>852</v>
      </c>
      <c r="I1342" s="455">
        <v>369600</v>
      </c>
      <c r="J1342" s="455">
        <v>369600</v>
      </c>
      <c r="K1342" s="455">
        <v>185492.81</v>
      </c>
      <c r="L1342" s="517"/>
    </row>
    <row r="1343" spans="1:12" s="22" customFormat="1" ht="13.5">
      <c r="A1343" s="88"/>
      <c r="B1343" s="88"/>
      <c r="C1343" s="83"/>
      <c r="D1343" s="270"/>
      <c r="E1343" s="89"/>
      <c r="F1343" s="200" t="s">
        <v>44</v>
      </c>
      <c r="G1343" s="54">
        <v>416000</v>
      </c>
      <c r="H1343" s="20" t="s">
        <v>853</v>
      </c>
      <c r="I1343" s="434">
        <f>I1344</f>
        <v>210000</v>
      </c>
      <c r="J1343" s="434">
        <f>J1344</f>
        <v>210000</v>
      </c>
      <c r="K1343" s="434">
        <f>K1344</f>
        <v>31833.89</v>
      </c>
      <c r="L1343" s="517"/>
    </row>
    <row r="1344" spans="1:12" ht="12.75">
      <c r="A1344" s="86"/>
      <c r="B1344" s="86"/>
      <c r="C1344" s="83"/>
      <c r="D1344" s="270"/>
      <c r="E1344" s="87"/>
      <c r="F1344" s="200" t="s">
        <v>45</v>
      </c>
      <c r="G1344" s="35">
        <v>416100</v>
      </c>
      <c r="H1344" s="4" t="s">
        <v>853</v>
      </c>
      <c r="I1344" s="435">
        <v>210000</v>
      </c>
      <c r="J1344" s="435">
        <v>210000</v>
      </c>
      <c r="K1344" s="435">
        <v>31833.89</v>
      </c>
      <c r="L1344" s="517"/>
    </row>
    <row r="1345" spans="1:12" s="22" customFormat="1" ht="13.5">
      <c r="A1345" s="88"/>
      <c r="B1345" s="88"/>
      <c r="C1345" s="83"/>
      <c r="D1345" s="270"/>
      <c r="E1345" s="89"/>
      <c r="F1345" s="200" t="s">
        <v>46</v>
      </c>
      <c r="G1345" s="54">
        <v>421000</v>
      </c>
      <c r="H1345" s="20" t="s">
        <v>799</v>
      </c>
      <c r="I1345" s="434">
        <f>I1346+I1347+I1348+I1349+I1350+I1351</f>
        <v>866700</v>
      </c>
      <c r="J1345" s="434">
        <f>J1346+J1347+J1348+J1349+J1350+J1351</f>
        <v>866700</v>
      </c>
      <c r="K1345" s="434">
        <f>K1346+K1347+K1348+K1349+K1351</f>
        <v>89923.43</v>
      </c>
      <c r="L1345" s="517"/>
    </row>
    <row r="1346" spans="1:12" ht="12.75">
      <c r="A1346" s="86"/>
      <c r="B1346" s="86"/>
      <c r="C1346" s="83"/>
      <c r="D1346" s="270"/>
      <c r="E1346" s="87"/>
      <c r="F1346" s="200" t="s">
        <v>47</v>
      </c>
      <c r="G1346" s="35">
        <v>421100</v>
      </c>
      <c r="H1346" s="4" t="s">
        <v>894</v>
      </c>
      <c r="I1346" s="435">
        <v>25000</v>
      </c>
      <c r="J1346" s="435">
        <v>25000</v>
      </c>
      <c r="K1346" s="435">
        <v>13608.08</v>
      </c>
      <c r="L1346" s="517"/>
    </row>
    <row r="1347" spans="1:12" ht="12.75">
      <c r="A1347" s="82"/>
      <c r="B1347" s="82"/>
      <c r="C1347" s="83"/>
      <c r="D1347" s="270"/>
      <c r="E1347" s="83"/>
      <c r="F1347" s="200" t="s">
        <v>48</v>
      </c>
      <c r="G1347" s="35">
        <v>421200</v>
      </c>
      <c r="H1347" s="4" t="s">
        <v>920</v>
      </c>
      <c r="I1347" s="435">
        <v>683600</v>
      </c>
      <c r="J1347" s="435">
        <v>683600</v>
      </c>
      <c r="K1347" s="435">
        <v>35231.05</v>
      </c>
      <c r="L1347" s="517"/>
    </row>
    <row r="1348" spans="1:12" ht="12.75">
      <c r="A1348" s="82"/>
      <c r="B1348" s="82"/>
      <c r="C1348" s="83"/>
      <c r="D1348" s="270"/>
      <c r="E1348" s="83"/>
      <c r="F1348" s="200" t="s">
        <v>49</v>
      </c>
      <c r="G1348" s="35">
        <v>421300</v>
      </c>
      <c r="H1348" s="4" t="s">
        <v>896</v>
      </c>
      <c r="I1348" s="435">
        <v>82200</v>
      </c>
      <c r="J1348" s="435">
        <v>82200</v>
      </c>
      <c r="K1348" s="435">
        <v>25200.98</v>
      </c>
      <c r="L1348" s="517"/>
    </row>
    <row r="1349" spans="1:12" ht="12.75">
      <c r="A1349" s="82"/>
      <c r="B1349" s="82"/>
      <c r="C1349" s="83"/>
      <c r="D1349" s="270"/>
      <c r="E1349" s="83"/>
      <c r="F1349" s="200" t="s">
        <v>50</v>
      </c>
      <c r="G1349" s="35">
        <v>421400</v>
      </c>
      <c r="H1349" s="5" t="s">
        <v>883</v>
      </c>
      <c r="I1349" s="435">
        <v>60900</v>
      </c>
      <c r="J1349" s="435">
        <v>60900</v>
      </c>
      <c r="K1349" s="435">
        <v>15883.32</v>
      </c>
      <c r="L1349" s="517"/>
    </row>
    <row r="1350" spans="1:12" ht="12.75">
      <c r="A1350" s="82"/>
      <c r="B1350" s="82"/>
      <c r="C1350" s="83"/>
      <c r="D1350" s="270"/>
      <c r="E1350" s="83"/>
      <c r="F1350" s="200"/>
      <c r="G1350" s="35" t="s">
        <v>459</v>
      </c>
      <c r="H1350" s="5" t="s">
        <v>897</v>
      </c>
      <c r="I1350" s="435">
        <v>15000</v>
      </c>
      <c r="J1350" s="435">
        <v>15000</v>
      </c>
      <c r="K1350" s="435">
        <v>0</v>
      </c>
      <c r="L1350" s="517"/>
    </row>
    <row r="1351" spans="1:12" ht="12.75">
      <c r="A1351" s="82"/>
      <c r="B1351" s="82"/>
      <c r="C1351" s="83"/>
      <c r="D1351" s="270"/>
      <c r="E1351" s="83"/>
      <c r="F1351" s="200" t="s">
        <v>51</v>
      </c>
      <c r="G1351" s="35">
        <v>421600</v>
      </c>
      <c r="H1351" s="4" t="s">
        <v>898</v>
      </c>
      <c r="I1351" s="435">
        <v>0</v>
      </c>
      <c r="J1351" s="435">
        <v>0</v>
      </c>
      <c r="K1351" s="435">
        <v>0</v>
      </c>
      <c r="L1351" s="517"/>
    </row>
    <row r="1352" spans="1:12" s="22" customFormat="1" ht="13.5">
      <c r="A1352" s="88"/>
      <c r="B1352" s="88"/>
      <c r="C1352" s="83"/>
      <c r="D1352" s="270"/>
      <c r="E1352" s="89"/>
      <c r="F1352" s="200" t="s">
        <v>52</v>
      </c>
      <c r="G1352" s="54">
        <v>422000</v>
      </c>
      <c r="H1352" s="20" t="s">
        <v>793</v>
      </c>
      <c r="I1352" s="434">
        <f>I1353+I1354</f>
        <v>310000</v>
      </c>
      <c r="J1352" s="434">
        <f>J1353+J1354</f>
        <v>310000</v>
      </c>
      <c r="K1352" s="434">
        <f>K1353+K1354</f>
        <v>121140</v>
      </c>
      <c r="L1352" s="517"/>
    </row>
    <row r="1353" spans="1:12" ht="12.75">
      <c r="A1353" s="86"/>
      <c r="B1353" s="86"/>
      <c r="C1353" s="83"/>
      <c r="D1353" s="270"/>
      <c r="E1353" s="87"/>
      <c r="F1353" s="200" t="s">
        <v>53</v>
      </c>
      <c r="G1353" s="35">
        <v>422100</v>
      </c>
      <c r="H1353" s="4" t="s">
        <v>899</v>
      </c>
      <c r="I1353" s="435">
        <v>10000</v>
      </c>
      <c r="J1353" s="435">
        <v>10000</v>
      </c>
      <c r="K1353" s="435">
        <v>4402</v>
      </c>
      <c r="L1353" s="517"/>
    </row>
    <row r="1354" spans="1:12" ht="12.75">
      <c r="A1354" s="82"/>
      <c r="B1354" s="82"/>
      <c r="C1354" s="83"/>
      <c r="D1354" s="270"/>
      <c r="E1354" s="83"/>
      <c r="F1354" s="200" t="s">
        <v>54</v>
      </c>
      <c r="G1354" s="35">
        <v>422400</v>
      </c>
      <c r="H1354" s="4" t="s">
        <v>921</v>
      </c>
      <c r="I1354" s="435">
        <v>300000</v>
      </c>
      <c r="J1354" s="435">
        <v>300000</v>
      </c>
      <c r="K1354" s="435">
        <v>116738</v>
      </c>
      <c r="L1354" s="517"/>
    </row>
    <row r="1355" spans="1:12" s="22" customFormat="1" ht="13.5">
      <c r="A1355" s="88"/>
      <c r="B1355" s="88"/>
      <c r="C1355" s="83"/>
      <c r="D1355" s="270"/>
      <c r="E1355" s="89"/>
      <c r="F1355" s="200" t="s">
        <v>55</v>
      </c>
      <c r="G1355" s="54">
        <v>423000</v>
      </c>
      <c r="H1355" s="20" t="s">
        <v>794</v>
      </c>
      <c r="I1355" s="434">
        <f>I1357+I1356</f>
        <v>70300</v>
      </c>
      <c r="J1355" s="434">
        <f>J1357+J1356</f>
        <v>70300</v>
      </c>
      <c r="K1355" s="434">
        <f>K1357+K1356</f>
        <v>12600</v>
      </c>
      <c r="L1355" s="517"/>
    </row>
    <row r="1356" spans="1:12" s="22" customFormat="1" ht="12.75">
      <c r="A1356" s="88"/>
      <c r="B1356" s="88"/>
      <c r="C1356" s="83"/>
      <c r="D1356" s="270"/>
      <c r="E1356" s="89"/>
      <c r="F1356" s="200"/>
      <c r="G1356" s="35" t="s">
        <v>369</v>
      </c>
      <c r="H1356" s="4" t="s">
        <v>901</v>
      </c>
      <c r="I1356" s="435">
        <v>20300</v>
      </c>
      <c r="J1356" s="435">
        <v>20300</v>
      </c>
      <c r="K1356" s="447">
        <v>12600</v>
      </c>
      <c r="L1356" s="517"/>
    </row>
    <row r="1357" spans="1:12" ht="12.75">
      <c r="A1357" s="86"/>
      <c r="B1357" s="86"/>
      <c r="C1357" s="83"/>
      <c r="D1357" s="270"/>
      <c r="E1357" s="87"/>
      <c r="F1357" s="200" t="s">
        <v>56</v>
      </c>
      <c r="G1357" s="524">
        <v>423300</v>
      </c>
      <c r="H1357" s="5" t="s">
        <v>902</v>
      </c>
      <c r="I1357" s="435">
        <v>50000</v>
      </c>
      <c r="J1357" s="435">
        <v>50000</v>
      </c>
      <c r="K1357" s="435">
        <v>0</v>
      </c>
      <c r="L1357" s="517"/>
    </row>
    <row r="1358" spans="1:12" s="22" customFormat="1" ht="13.5">
      <c r="A1358" s="88"/>
      <c r="B1358" s="88"/>
      <c r="C1358" s="83"/>
      <c r="D1358" s="270"/>
      <c r="E1358" s="89"/>
      <c r="F1358" s="200" t="s">
        <v>57</v>
      </c>
      <c r="G1358" s="528">
        <v>424000</v>
      </c>
      <c r="H1358" s="20" t="s">
        <v>800</v>
      </c>
      <c r="I1358" s="434">
        <f>I1359</f>
        <v>30000</v>
      </c>
      <c r="J1358" s="434">
        <f>J1359</f>
        <v>30000</v>
      </c>
      <c r="K1358" s="434">
        <f>K1359</f>
        <v>14400</v>
      </c>
      <c r="L1358" s="517"/>
    </row>
    <row r="1359" spans="1:12" ht="25.5">
      <c r="A1359" s="86"/>
      <c r="B1359" s="86"/>
      <c r="C1359" s="83"/>
      <c r="D1359" s="270"/>
      <c r="E1359" s="87"/>
      <c r="F1359" s="200" t="s">
        <v>58</v>
      </c>
      <c r="G1359" s="524">
        <v>424600</v>
      </c>
      <c r="H1359" s="5" t="s">
        <v>908</v>
      </c>
      <c r="I1359" s="435">
        <v>30000</v>
      </c>
      <c r="J1359" s="435">
        <v>30000</v>
      </c>
      <c r="K1359" s="435">
        <v>14400</v>
      </c>
      <c r="L1359" s="517"/>
    </row>
    <row r="1360" spans="1:12" s="22" customFormat="1" ht="13.5">
      <c r="A1360" s="88"/>
      <c r="B1360" s="88"/>
      <c r="C1360" s="83"/>
      <c r="D1360" s="270"/>
      <c r="E1360" s="89"/>
      <c r="F1360" s="200" t="s">
        <v>59</v>
      </c>
      <c r="G1360" s="528">
        <v>425000</v>
      </c>
      <c r="H1360" s="20" t="s">
        <v>797</v>
      </c>
      <c r="I1360" s="434">
        <f>I1361+I1362</f>
        <v>120000</v>
      </c>
      <c r="J1360" s="434">
        <f>J1361+J1362</f>
        <v>120000</v>
      </c>
      <c r="K1360" s="434">
        <f>K1361+K1362</f>
        <v>19042</v>
      </c>
      <c r="L1360" s="517"/>
    </row>
    <row r="1361" spans="1:12" s="22" customFormat="1" ht="12.75">
      <c r="A1361" s="88"/>
      <c r="B1361" s="88"/>
      <c r="C1361" s="83"/>
      <c r="D1361" s="270"/>
      <c r="E1361" s="89"/>
      <c r="F1361" s="200"/>
      <c r="G1361" s="524" t="s">
        <v>608</v>
      </c>
      <c r="H1361" s="4" t="s">
        <v>909</v>
      </c>
      <c r="I1361" s="435">
        <v>50000</v>
      </c>
      <c r="J1361" s="435">
        <v>50000</v>
      </c>
      <c r="K1361" s="435">
        <v>18658</v>
      </c>
      <c r="L1361" s="517"/>
    </row>
    <row r="1362" spans="1:12" ht="12.75">
      <c r="A1362" s="86"/>
      <c r="B1362" s="86"/>
      <c r="C1362" s="83"/>
      <c r="D1362" s="270"/>
      <c r="E1362" s="87"/>
      <c r="F1362" s="200" t="s">
        <v>60</v>
      </c>
      <c r="G1362" s="524">
        <v>425200</v>
      </c>
      <c r="H1362" s="4" t="s">
        <v>910</v>
      </c>
      <c r="I1362" s="435">
        <v>70000</v>
      </c>
      <c r="J1362" s="435">
        <v>70000</v>
      </c>
      <c r="K1362" s="435">
        <v>384</v>
      </c>
      <c r="L1362" s="517"/>
    </row>
    <row r="1363" spans="1:12" s="22" customFormat="1" ht="13.5">
      <c r="A1363" s="88"/>
      <c r="B1363" s="88"/>
      <c r="C1363" s="83"/>
      <c r="D1363" s="270"/>
      <c r="E1363" s="89"/>
      <c r="F1363" s="200" t="s">
        <v>61</v>
      </c>
      <c r="G1363" s="528">
        <v>426000</v>
      </c>
      <c r="H1363" s="20" t="s">
        <v>795</v>
      </c>
      <c r="I1363" s="434">
        <f>I1364+I1365+I1366+I1367</f>
        <v>153200</v>
      </c>
      <c r="J1363" s="434">
        <f>J1364+J1365+J1366+J1367</f>
        <v>153200</v>
      </c>
      <c r="K1363" s="434">
        <f>K1364+K1366+K1367</f>
        <v>34986</v>
      </c>
      <c r="L1363" s="517"/>
    </row>
    <row r="1364" spans="1:12" ht="12.75">
      <c r="A1364" s="86"/>
      <c r="B1364" s="86"/>
      <c r="C1364" s="83"/>
      <c r="D1364" s="270"/>
      <c r="E1364" s="87"/>
      <c r="F1364" s="200" t="s">
        <v>62</v>
      </c>
      <c r="G1364" s="524">
        <v>426100</v>
      </c>
      <c r="H1364" s="4" t="s">
        <v>911</v>
      </c>
      <c r="I1364" s="435">
        <v>50000</v>
      </c>
      <c r="J1364" s="435">
        <v>50000</v>
      </c>
      <c r="K1364" s="435">
        <v>12650</v>
      </c>
      <c r="L1364" s="517"/>
    </row>
    <row r="1365" spans="1:12" ht="12.75">
      <c r="A1365" s="86"/>
      <c r="B1365" s="86"/>
      <c r="C1365" s="83"/>
      <c r="D1365" s="270"/>
      <c r="E1365" s="87"/>
      <c r="F1365" s="200"/>
      <c r="G1365" s="524" t="s">
        <v>632</v>
      </c>
      <c r="H1365" s="4" t="s">
        <v>720</v>
      </c>
      <c r="I1365" s="435">
        <v>30000</v>
      </c>
      <c r="J1365" s="435">
        <v>30000</v>
      </c>
      <c r="K1365" s="435">
        <v>0</v>
      </c>
      <c r="L1365" s="517"/>
    </row>
    <row r="1366" spans="1:12" ht="12.75">
      <c r="A1366" s="82"/>
      <c r="B1366" s="82"/>
      <c r="C1366" s="83"/>
      <c r="D1366" s="270"/>
      <c r="E1366" s="83"/>
      <c r="F1366" s="200" t="s">
        <v>63</v>
      </c>
      <c r="G1366" s="524">
        <v>426600</v>
      </c>
      <c r="H1366" s="5" t="s">
        <v>923</v>
      </c>
      <c r="I1366" s="435">
        <v>40200</v>
      </c>
      <c r="J1366" s="435">
        <v>40200</v>
      </c>
      <c r="K1366" s="435">
        <v>15120</v>
      </c>
      <c r="L1366" s="517"/>
    </row>
    <row r="1367" spans="1:12" ht="15.75" customHeight="1">
      <c r="A1367" s="82"/>
      <c r="B1367" s="82"/>
      <c r="C1367" s="83"/>
      <c r="D1367" s="270"/>
      <c r="E1367" s="83"/>
      <c r="F1367" s="200" t="s">
        <v>64</v>
      </c>
      <c r="G1367" s="524">
        <v>426800</v>
      </c>
      <c r="H1367" s="5" t="s">
        <v>913</v>
      </c>
      <c r="I1367" s="435">
        <v>33000</v>
      </c>
      <c r="J1367" s="435">
        <v>33000</v>
      </c>
      <c r="K1367" s="435">
        <v>7216</v>
      </c>
      <c r="L1367" s="517"/>
    </row>
    <row r="1368" spans="1:12" s="36" customFormat="1" ht="13.5">
      <c r="A1368" s="82"/>
      <c r="B1368" s="82"/>
      <c r="C1368" s="83"/>
      <c r="D1368" s="270"/>
      <c r="E1368" s="83"/>
      <c r="F1368" s="200"/>
      <c r="G1368" s="528" t="s">
        <v>521</v>
      </c>
      <c r="H1368" s="41" t="s">
        <v>932</v>
      </c>
      <c r="I1368" s="434">
        <f>I1369</f>
        <v>200000</v>
      </c>
      <c r="J1368" s="434">
        <f>J1369</f>
        <v>200000</v>
      </c>
      <c r="K1368" s="434">
        <f>K1369</f>
        <v>92884.31</v>
      </c>
      <c r="L1368" s="517"/>
    </row>
    <row r="1369" spans="1:12" s="36" customFormat="1" ht="21" customHeight="1">
      <c r="A1369" s="82"/>
      <c r="B1369" s="82"/>
      <c r="C1369" s="83"/>
      <c r="D1369" s="270"/>
      <c r="E1369" s="83"/>
      <c r="F1369" s="200"/>
      <c r="G1369" s="524" t="s">
        <v>613</v>
      </c>
      <c r="H1369" s="5" t="s">
        <v>1635</v>
      </c>
      <c r="I1369" s="435">
        <v>200000</v>
      </c>
      <c r="J1369" s="435">
        <v>200000</v>
      </c>
      <c r="K1369" s="435">
        <v>92884.31</v>
      </c>
      <c r="L1369" s="517"/>
    </row>
    <row r="1370" spans="1:12" s="36" customFormat="1" ht="21" customHeight="1">
      <c r="A1370" s="82"/>
      <c r="B1370" s="82"/>
      <c r="C1370" s="83"/>
      <c r="D1370" s="270"/>
      <c r="E1370" s="83"/>
      <c r="F1370" s="200"/>
      <c r="G1370" s="524"/>
      <c r="H1370" s="727"/>
      <c r="I1370" s="435"/>
      <c r="J1370" s="435"/>
      <c r="K1370" s="435"/>
      <c r="L1370" s="517"/>
    </row>
    <row r="1371" spans="1:12" s="36" customFormat="1" ht="13.5" thickBot="1">
      <c r="A1371" s="82"/>
      <c r="B1371" s="82"/>
      <c r="C1371" s="83"/>
      <c r="D1371" s="270"/>
      <c r="E1371" s="83"/>
      <c r="F1371" s="200"/>
      <c r="G1371" s="35"/>
      <c r="H1371" s="585" t="s">
        <v>844</v>
      </c>
      <c r="I1371" s="481">
        <f>I1339+I1341+I1343+I1345+I1352+I1355+I1358+I1360+I1363+I1368</f>
        <v>2694400</v>
      </c>
      <c r="J1371" s="481">
        <f>J1339+J1341+J1343+J1345+J1352+J1355+J1358+J1360+J1363+J1368</f>
        <v>2694400</v>
      </c>
      <c r="K1371" s="603">
        <f>K1339+K1341+K1343+K1345+K1352+K1355+K1358+K1360+K1363+K1368</f>
        <v>751645.26</v>
      </c>
      <c r="L1371" s="517"/>
    </row>
    <row r="1372" spans="1:12" s="36" customFormat="1" ht="12.75">
      <c r="A1372" s="280"/>
      <c r="B1372" s="280"/>
      <c r="C1372" s="217"/>
      <c r="D1372" s="273"/>
      <c r="E1372" s="217"/>
      <c r="F1372" s="199"/>
      <c r="G1372" s="345"/>
      <c r="H1372" s="128"/>
      <c r="I1372" s="742"/>
      <c r="J1372" s="742"/>
      <c r="K1372" s="742"/>
      <c r="L1372" s="517"/>
    </row>
    <row r="1373" spans="1:12" s="36" customFormat="1" ht="14.25" thickBot="1">
      <c r="A1373" s="280"/>
      <c r="B1373" s="280"/>
      <c r="C1373" s="217"/>
      <c r="D1373" s="273"/>
      <c r="E1373" s="217"/>
      <c r="F1373" s="199"/>
      <c r="G1373" s="345"/>
      <c r="H1373" s="741" t="s">
        <v>1260</v>
      </c>
      <c r="I1373" s="824">
        <f>I1371+I1333+I1298+I1258+I1222+I1181+I1140+I1101+I1057</f>
        <v>122877200</v>
      </c>
      <c r="J1373" s="824">
        <f>J1371+J1333+J1298+J1258+J1222+J1181+J1140+J1101+J1057</f>
        <v>122877200</v>
      </c>
      <c r="K1373" s="825">
        <f>K1371+K1333+K1298+K1258+K1222+K1181+K1140+K1101+K1057</f>
        <v>44727420.41</v>
      </c>
      <c r="L1373" s="517"/>
    </row>
    <row r="1374" spans="1:12" s="22" customFormat="1" ht="13.5">
      <c r="A1374" s="100"/>
      <c r="B1374" s="100"/>
      <c r="C1374" s="217"/>
      <c r="D1374" s="273"/>
      <c r="E1374" s="101"/>
      <c r="F1374" s="199"/>
      <c r="G1374" s="548"/>
      <c r="H1374" s="133"/>
      <c r="I1374" s="471"/>
      <c r="J1374" s="471"/>
      <c r="K1374" s="471"/>
      <c r="L1374" s="517"/>
    </row>
    <row r="1375" spans="1:12" s="22" customFormat="1" ht="12.75" customHeight="1">
      <c r="A1375" s="100"/>
      <c r="B1375" s="100"/>
      <c r="C1375" s="217"/>
      <c r="D1375" s="268" t="s">
        <v>549</v>
      </c>
      <c r="E1375" s="101"/>
      <c r="F1375" s="199"/>
      <c r="G1375" s="543"/>
      <c r="H1375" s="102" t="s">
        <v>548</v>
      </c>
      <c r="I1375" s="468"/>
      <c r="J1375" s="468"/>
      <c r="K1375" s="468"/>
      <c r="L1375" s="517"/>
    </row>
    <row r="1376" spans="1:12" s="22" customFormat="1" ht="17.25" customHeight="1">
      <c r="A1376" s="88"/>
      <c r="B1376" s="88"/>
      <c r="C1376" s="218"/>
      <c r="D1376" s="269" t="s">
        <v>550</v>
      </c>
      <c r="E1376" s="89"/>
      <c r="F1376" s="200"/>
      <c r="G1376" s="527"/>
      <c r="H1376" s="93" t="s">
        <v>551</v>
      </c>
      <c r="I1376" s="432"/>
      <c r="J1376" s="432"/>
      <c r="K1376" s="432"/>
      <c r="L1376" s="517"/>
    </row>
    <row r="1377" spans="1:12" s="22" customFormat="1" ht="12.75">
      <c r="A1377" s="88"/>
      <c r="B1377" s="88"/>
      <c r="C1377" s="83"/>
      <c r="D1377" s="270"/>
      <c r="E1377" s="89" t="s">
        <v>700</v>
      </c>
      <c r="F1377" s="200"/>
      <c r="G1377" s="527"/>
      <c r="H1377" s="90" t="s">
        <v>694</v>
      </c>
      <c r="I1377" s="461"/>
      <c r="J1377" s="461"/>
      <c r="K1377" s="461"/>
      <c r="L1377" s="517"/>
    </row>
    <row r="1378" spans="1:12" s="22" customFormat="1" ht="13.5">
      <c r="A1378" s="88"/>
      <c r="B1378" s="88"/>
      <c r="C1378" s="83"/>
      <c r="D1378" s="270"/>
      <c r="E1378" s="89"/>
      <c r="F1378" s="200" t="s">
        <v>65</v>
      </c>
      <c r="G1378" s="535">
        <v>413000</v>
      </c>
      <c r="H1378" s="242" t="s">
        <v>824</v>
      </c>
      <c r="I1378" s="454">
        <f>I1379</f>
        <v>908000</v>
      </c>
      <c r="J1378" s="454">
        <f>J1379</f>
        <v>908000</v>
      </c>
      <c r="K1378" s="454">
        <f>K1379</f>
        <v>325383.88</v>
      </c>
      <c r="L1378" s="517"/>
    </row>
    <row r="1379" spans="1:12" ht="12.75">
      <c r="A1379" s="86"/>
      <c r="B1379" s="86"/>
      <c r="C1379" s="83"/>
      <c r="D1379" s="270"/>
      <c r="E1379" s="87"/>
      <c r="F1379" s="200" t="s">
        <v>66</v>
      </c>
      <c r="G1379" s="536">
        <v>413100</v>
      </c>
      <c r="H1379" s="245" t="s">
        <v>824</v>
      </c>
      <c r="I1379" s="435">
        <v>908000</v>
      </c>
      <c r="J1379" s="435">
        <v>908000</v>
      </c>
      <c r="K1379" s="435">
        <v>325383.88</v>
      </c>
      <c r="L1379" s="517"/>
    </row>
    <row r="1380" spans="1:12" s="22" customFormat="1" ht="13.5">
      <c r="A1380" s="88"/>
      <c r="B1380" s="88"/>
      <c r="C1380" s="83"/>
      <c r="D1380" s="270"/>
      <c r="E1380" s="89"/>
      <c r="F1380" s="200" t="s">
        <v>67</v>
      </c>
      <c r="G1380" s="535">
        <v>415000</v>
      </c>
      <c r="H1380" s="242" t="s">
        <v>852</v>
      </c>
      <c r="I1380" s="454">
        <f>I1381</f>
        <v>1218000</v>
      </c>
      <c r="J1380" s="454">
        <f>J1381</f>
        <v>1218000</v>
      </c>
      <c r="K1380" s="454">
        <f>K1381</f>
        <v>517745.91</v>
      </c>
      <c r="L1380" s="517"/>
    </row>
    <row r="1381" spans="1:12" ht="12.75">
      <c r="A1381" s="86"/>
      <c r="B1381" s="86"/>
      <c r="C1381" s="83"/>
      <c r="D1381" s="270"/>
      <c r="E1381" s="87"/>
      <c r="F1381" s="200" t="s">
        <v>68</v>
      </c>
      <c r="G1381" s="536">
        <v>415100</v>
      </c>
      <c r="H1381" s="245" t="s">
        <v>852</v>
      </c>
      <c r="I1381" s="455">
        <v>1218000</v>
      </c>
      <c r="J1381" s="455">
        <v>1218000</v>
      </c>
      <c r="K1381" s="455">
        <v>517745.91</v>
      </c>
      <c r="L1381" s="517"/>
    </row>
    <row r="1382" spans="1:12" s="22" customFormat="1" ht="13.5">
      <c r="A1382" s="88"/>
      <c r="B1382" s="88"/>
      <c r="C1382" s="83"/>
      <c r="D1382" s="270"/>
      <c r="E1382" s="89"/>
      <c r="F1382" s="200" t="s">
        <v>69</v>
      </c>
      <c r="G1382" s="54">
        <v>416000</v>
      </c>
      <c r="H1382" s="20" t="s">
        <v>853</v>
      </c>
      <c r="I1382" s="434">
        <f>I1383</f>
        <v>800000</v>
      </c>
      <c r="J1382" s="434">
        <f>J1383</f>
        <v>800000</v>
      </c>
      <c r="K1382" s="434">
        <f>K1383</f>
        <v>309096.33</v>
      </c>
      <c r="L1382" s="517"/>
    </row>
    <row r="1383" spans="1:12" ht="12.75">
      <c r="A1383" s="86"/>
      <c r="B1383" s="86"/>
      <c r="C1383" s="83"/>
      <c r="D1383" s="270"/>
      <c r="E1383" s="87"/>
      <c r="F1383" s="200" t="s">
        <v>70</v>
      </c>
      <c r="G1383" s="35">
        <v>416100</v>
      </c>
      <c r="H1383" s="4" t="s">
        <v>853</v>
      </c>
      <c r="I1383" s="435">
        <v>800000</v>
      </c>
      <c r="J1383" s="435">
        <v>800000</v>
      </c>
      <c r="K1383" s="435">
        <v>309096.33</v>
      </c>
      <c r="L1383" s="517"/>
    </row>
    <row r="1384" spans="1:12" s="22" customFormat="1" ht="13.5">
      <c r="A1384" s="88"/>
      <c r="B1384" s="88"/>
      <c r="C1384" s="83"/>
      <c r="D1384" s="270"/>
      <c r="E1384" s="89"/>
      <c r="F1384" s="200" t="s">
        <v>71</v>
      </c>
      <c r="G1384" s="54">
        <v>421000</v>
      </c>
      <c r="H1384" s="20" t="s">
        <v>799</v>
      </c>
      <c r="I1384" s="434">
        <f>I1385+I1386+I1387+I1388+I1389</f>
        <v>11606000</v>
      </c>
      <c r="J1384" s="434">
        <f>J1385+J1386+J1387+J1388+J1389</f>
        <v>11606000</v>
      </c>
      <c r="K1384" s="434">
        <f>K1385+K1386+K1387+K1388+K1389</f>
        <v>3949525.5</v>
      </c>
      <c r="L1384" s="517"/>
    </row>
    <row r="1385" spans="1:12" ht="12.75">
      <c r="A1385" s="86"/>
      <c r="B1385" s="86"/>
      <c r="C1385" s="83"/>
      <c r="D1385" s="270"/>
      <c r="E1385" s="87"/>
      <c r="F1385" s="200" t="s">
        <v>72</v>
      </c>
      <c r="G1385" s="35">
        <v>421100</v>
      </c>
      <c r="H1385" s="4" t="s">
        <v>894</v>
      </c>
      <c r="I1385" s="435">
        <v>188000</v>
      </c>
      <c r="J1385" s="435">
        <v>188000</v>
      </c>
      <c r="K1385" s="435">
        <v>98250.87</v>
      </c>
      <c r="L1385" s="517"/>
    </row>
    <row r="1386" spans="1:12" ht="12.75">
      <c r="A1386" s="82"/>
      <c r="B1386" s="82"/>
      <c r="C1386" s="83"/>
      <c r="D1386" s="270"/>
      <c r="E1386" s="83"/>
      <c r="F1386" s="200" t="s">
        <v>73</v>
      </c>
      <c r="G1386" s="35">
        <v>421200</v>
      </c>
      <c r="H1386" s="4" t="s">
        <v>920</v>
      </c>
      <c r="I1386" s="435">
        <v>10803000</v>
      </c>
      <c r="J1386" s="435">
        <v>10803000</v>
      </c>
      <c r="K1386" s="435">
        <v>3550950.26</v>
      </c>
      <c r="L1386" s="517"/>
    </row>
    <row r="1387" spans="1:12" ht="12.75">
      <c r="A1387" s="82"/>
      <c r="B1387" s="82"/>
      <c r="C1387" s="83"/>
      <c r="D1387" s="270"/>
      <c r="E1387" s="83"/>
      <c r="F1387" s="200" t="s">
        <v>74</v>
      </c>
      <c r="G1387" s="524">
        <v>421300</v>
      </c>
      <c r="H1387" s="5" t="s">
        <v>896</v>
      </c>
      <c r="I1387" s="435">
        <v>457000</v>
      </c>
      <c r="J1387" s="435">
        <v>457000</v>
      </c>
      <c r="K1387" s="435">
        <v>178324.02</v>
      </c>
      <c r="L1387" s="517"/>
    </row>
    <row r="1388" spans="1:12" ht="12.75">
      <c r="A1388" s="82"/>
      <c r="B1388" s="82"/>
      <c r="C1388" s="83"/>
      <c r="D1388" s="270"/>
      <c r="E1388" s="83"/>
      <c r="F1388" s="200" t="s">
        <v>75</v>
      </c>
      <c r="G1388" s="35">
        <v>421400</v>
      </c>
      <c r="H1388" s="5" t="s">
        <v>883</v>
      </c>
      <c r="I1388" s="435">
        <v>61000</v>
      </c>
      <c r="J1388" s="435">
        <v>61000</v>
      </c>
      <c r="K1388" s="435">
        <v>28121.22</v>
      </c>
      <c r="L1388" s="517"/>
    </row>
    <row r="1389" spans="1:12" ht="12.75">
      <c r="A1389" s="82"/>
      <c r="B1389" s="82"/>
      <c r="C1389" s="83"/>
      <c r="D1389" s="270"/>
      <c r="E1389" s="83"/>
      <c r="F1389" s="200" t="s">
        <v>76</v>
      </c>
      <c r="G1389" s="35">
        <v>421500</v>
      </c>
      <c r="H1389" s="4" t="s">
        <v>897</v>
      </c>
      <c r="I1389" s="435">
        <v>97000</v>
      </c>
      <c r="J1389" s="435">
        <v>97000</v>
      </c>
      <c r="K1389" s="435">
        <v>93879.13</v>
      </c>
      <c r="L1389" s="517"/>
    </row>
    <row r="1390" spans="1:12" s="22" customFormat="1" ht="13.5">
      <c r="A1390" s="88"/>
      <c r="B1390" s="88"/>
      <c r="C1390" s="83"/>
      <c r="D1390" s="270"/>
      <c r="E1390" s="89"/>
      <c r="F1390" s="200" t="s">
        <v>77</v>
      </c>
      <c r="G1390" s="54">
        <v>422000</v>
      </c>
      <c r="H1390" s="20" t="s">
        <v>793</v>
      </c>
      <c r="I1390" s="434">
        <f>I1391</f>
        <v>10000</v>
      </c>
      <c r="J1390" s="434">
        <f>J1391</f>
        <v>10000</v>
      </c>
      <c r="K1390" s="434">
        <f>K1391</f>
        <v>0</v>
      </c>
      <c r="L1390" s="517"/>
    </row>
    <row r="1391" spans="1:12" ht="12.75">
      <c r="A1391" s="86"/>
      <c r="B1391" s="86"/>
      <c r="C1391" s="83"/>
      <c r="D1391" s="270"/>
      <c r="E1391" s="87"/>
      <c r="F1391" s="200" t="s">
        <v>78</v>
      </c>
      <c r="G1391" s="35">
        <v>422100</v>
      </c>
      <c r="H1391" s="4" t="s">
        <v>899</v>
      </c>
      <c r="I1391" s="435">
        <v>10000</v>
      </c>
      <c r="J1391" s="435">
        <v>10000</v>
      </c>
      <c r="K1391" s="435">
        <v>0</v>
      </c>
      <c r="L1391" s="517"/>
    </row>
    <row r="1392" spans="1:12" s="22" customFormat="1" ht="13.5">
      <c r="A1392" s="88"/>
      <c r="B1392" s="88"/>
      <c r="C1392" s="83"/>
      <c r="D1392" s="270"/>
      <c r="E1392" s="89"/>
      <c r="F1392" s="200" t="s">
        <v>79</v>
      </c>
      <c r="G1392" s="54">
        <v>423000</v>
      </c>
      <c r="H1392" s="20" t="s">
        <v>794</v>
      </c>
      <c r="I1392" s="434">
        <f>I1393+I1394+I1395</f>
        <v>146000</v>
      </c>
      <c r="J1392" s="434">
        <f>J1393+J1394+J1395</f>
        <v>146000</v>
      </c>
      <c r="K1392" s="434">
        <f>K1393+K1394+K1395</f>
        <v>36481.78</v>
      </c>
      <c r="L1392" s="517"/>
    </row>
    <row r="1393" spans="1:12" ht="12.75">
      <c r="A1393" s="86"/>
      <c r="B1393" s="86"/>
      <c r="C1393" s="83"/>
      <c r="D1393" s="270"/>
      <c r="E1393" s="87"/>
      <c r="F1393" s="200" t="s">
        <v>80</v>
      </c>
      <c r="G1393" s="524">
        <v>423300</v>
      </c>
      <c r="H1393" s="5" t="s">
        <v>902</v>
      </c>
      <c r="I1393" s="435">
        <v>90000</v>
      </c>
      <c r="J1393" s="435">
        <v>90000</v>
      </c>
      <c r="K1393" s="435">
        <v>17802.78</v>
      </c>
      <c r="L1393" s="517"/>
    </row>
    <row r="1394" spans="1:12" ht="12.75">
      <c r="A1394" s="82"/>
      <c r="B1394" s="82"/>
      <c r="C1394" s="83"/>
      <c r="D1394" s="270"/>
      <c r="E1394" s="83"/>
      <c r="F1394" s="200" t="s">
        <v>81</v>
      </c>
      <c r="G1394" s="524">
        <v>423400</v>
      </c>
      <c r="H1394" s="4" t="s">
        <v>884</v>
      </c>
      <c r="I1394" s="435">
        <v>46000</v>
      </c>
      <c r="J1394" s="435">
        <v>46000</v>
      </c>
      <c r="K1394" s="435">
        <v>10075</v>
      </c>
      <c r="L1394" s="517"/>
    </row>
    <row r="1395" spans="1:12" ht="12.75">
      <c r="A1395" s="82"/>
      <c r="B1395" s="82"/>
      <c r="C1395" s="83"/>
      <c r="D1395" s="270"/>
      <c r="E1395" s="83"/>
      <c r="F1395" s="200" t="s">
        <v>82</v>
      </c>
      <c r="G1395" s="524">
        <v>423900</v>
      </c>
      <c r="H1395" s="4" t="s">
        <v>906</v>
      </c>
      <c r="I1395" s="435">
        <v>10000</v>
      </c>
      <c r="J1395" s="435">
        <v>10000</v>
      </c>
      <c r="K1395" s="435">
        <v>8604</v>
      </c>
      <c r="L1395" s="517"/>
    </row>
    <row r="1396" spans="1:12" s="22" customFormat="1" ht="13.5">
      <c r="A1396" s="88"/>
      <c r="B1396" s="88"/>
      <c r="C1396" s="83"/>
      <c r="D1396" s="270"/>
      <c r="E1396" s="89"/>
      <c r="F1396" s="200" t="s">
        <v>83</v>
      </c>
      <c r="G1396" s="528">
        <v>424000</v>
      </c>
      <c r="H1396" s="20" t="s">
        <v>800</v>
      </c>
      <c r="I1396" s="434">
        <f>I1397</f>
        <v>30000</v>
      </c>
      <c r="J1396" s="434">
        <f>J1397</f>
        <v>30000</v>
      </c>
      <c r="K1396" s="434">
        <f>K1397</f>
        <v>14400</v>
      </c>
      <c r="L1396" s="517"/>
    </row>
    <row r="1397" spans="1:12" ht="25.5">
      <c r="A1397" s="86"/>
      <c r="B1397" s="86"/>
      <c r="C1397" s="83"/>
      <c r="D1397" s="270"/>
      <c r="E1397" s="87"/>
      <c r="F1397" s="200" t="s">
        <v>84</v>
      </c>
      <c r="G1397" s="524">
        <v>424600</v>
      </c>
      <c r="H1397" s="5" t="s">
        <v>908</v>
      </c>
      <c r="I1397" s="435">
        <v>30000</v>
      </c>
      <c r="J1397" s="435">
        <v>30000</v>
      </c>
      <c r="K1397" s="435">
        <v>14400</v>
      </c>
      <c r="L1397" s="517"/>
    </row>
    <row r="1398" spans="1:12" s="22" customFormat="1" ht="13.5">
      <c r="A1398" s="88"/>
      <c r="B1398" s="88"/>
      <c r="C1398" s="83"/>
      <c r="D1398" s="270"/>
      <c r="E1398" s="89"/>
      <c r="F1398" s="200" t="s">
        <v>85</v>
      </c>
      <c r="G1398" s="528">
        <v>425000</v>
      </c>
      <c r="H1398" s="20" t="s">
        <v>797</v>
      </c>
      <c r="I1398" s="434">
        <f>I1399+I1400</f>
        <v>6050000</v>
      </c>
      <c r="J1398" s="434">
        <f>J1399+J1400</f>
        <v>5850000</v>
      </c>
      <c r="K1398" s="434">
        <f>K1399+K1400</f>
        <v>2760265.7600000002</v>
      </c>
      <c r="L1398" s="517"/>
    </row>
    <row r="1399" spans="1:12" ht="12.75">
      <c r="A1399" s="86"/>
      <c r="B1399" s="86"/>
      <c r="C1399" s="83"/>
      <c r="D1399" s="270"/>
      <c r="E1399" s="87"/>
      <c r="F1399" s="200" t="s">
        <v>86</v>
      </c>
      <c r="G1399" s="524">
        <v>425100</v>
      </c>
      <c r="H1399" s="4" t="s">
        <v>909</v>
      </c>
      <c r="I1399" s="435">
        <v>6000000</v>
      </c>
      <c r="J1399" s="688">
        <v>5800000</v>
      </c>
      <c r="K1399" s="435">
        <v>2734111.56</v>
      </c>
      <c r="L1399" s="517"/>
    </row>
    <row r="1400" spans="1:12" ht="12.75">
      <c r="A1400" s="82"/>
      <c r="B1400" s="82"/>
      <c r="C1400" s="83"/>
      <c r="D1400" s="270"/>
      <c r="E1400" s="83"/>
      <c r="F1400" s="200" t="s">
        <v>87</v>
      </c>
      <c r="G1400" s="524">
        <v>425200</v>
      </c>
      <c r="H1400" s="4" t="s">
        <v>910</v>
      </c>
      <c r="I1400" s="435">
        <v>50000</v>
      </c>
      <c r="J1400" s="435">
        <v>50000</v>
      </c>
      <c r="K1400" s="435">
        <v>26154.2</v>
      </c>
      <c r="L1400" s="517"/>
    </row>
    <row r="1401" spans="1:12" s="22" customFormat="1" ht="13.5">
      <c r="A1401" s="88"/>
      <c r="B1401" s="88"/>
      <c r="C1401" s="83"/>
      <c r="D1401" s="270"/>
      <c r="E1401" s="89"/>
      <c r="F1401" s="200" t="s">
        <v>88</v>
      </c>
      <c r="G1401" s="528">
        <v>426000</v>
      </c>
      <c r="H1401" s="20" t="s">
        <v>795</v>
      </c>
      <c r="I1401" s="434">
        <f>I1402+I1403+I1404+I1405</f>
        <v>348000</v>
      </c>
      <c r="J1401" s="434">
        <f>J1402+J1403+J1404+J1405</f>
        <v>348000</v>
      </c>
      <c r="K1401" s="434">
        <f>K1402+K1403+K1404+K1405</f>
        <v>105997.98000000001</v>
      </c>
      <c r="L1401" s="517"/>
    </row>
    <row r="1402" spans="1:12" ht="12.75">
      <c r="A1402" s="86"/>
      <c r="B1402" s="86"/>
      <c r="C1402" s="83"/>
      <c r="D1402" s="270"/>
      <c r="E1402" s="87"/>
      <c r="F1402" s="200" t="s">
        <v>89</v>
      </c>
      <c r="G1402" s="524">
        <v>426100</v>
      </c>
      <c r="H1402" s="4" t="s">
        <v>911</v>
      </c>
      <c r="I1402" s="435">
        <v>100000</v>
      </c>
      <c r="J1402" s="435">
        <v>100000</v>
      </c>
      <c r="K1402" s="435">
        <v>49925</v>
      </c>
      <c r="L1402" s="517"/>
    </row>
    <row r="1403" spans="1:12" ht="12.75">
      <c r="A1403" s="82"/>
      <c r="B1403" s="82"/>
      <c r="C1403" s="83"/>
      <c r="D1403" s="270"/>
      <c r="E1403" s="83"/>
      <c r="F1403" s="200" t="s">
        <v>90</v>
      </c>
      <c r="G1403" s="524">
        <v>426300</v>
      </c>
      <c r="H1403" s="5" t="s">
        <v>922</v>
      </c>
      <c r="I1403" s="435">
        <v>66000</v>
      </c>
      <c r="J1403" s="435">
        <v>66000</v>
      </c>
      <c r="K1403" s="435">
        <v>0</v>
      </c>
      <c r="L1403" s="517"/>
    </row>
    <row r="1404" spans="1:12" ht="12.75">
      <c r="A1404" s="82"/>
      <c r="B1404" s="82"/>
      <c r="C1404" s="83"/>
      <c r="D1404" s="270"/>
      <c r="E1404" s="83"/>
      <c r="F1404" s="200" t="s">
        <v>91</v>
      </c>
      <c r="G1404" s="524">
        <v>426600</v>
      </c>
      <c r="H1404" s="5" t="s">
        <v>923</v>
      </c>
      <c r="I1404" s="435">
        <v>82000</v>
      </c>
      <c r="J1404" s="435">
        <v>82000</v>
      </c>
      <c r="K1404" s="435">
        <v>595</v>
      </c>
      <c r="L1404" s="517"/>
    </row>
    <row r="1405" spans="1:12" ht="12.75">
      <c r="A1405" s="82"/>
      <c r="B1405" s="82"/>
      <c r="C1405" s="83"/>
      <c r="D1405" s="270"/>
      <c r="E1405" s="83"/>
      <c r="F1405" s="200" t="s">
        <v>92</v>
      </c>
      <c r="G1405" s="524">
        <v>426800</v>
      </c>
      <c r="H1405" s="5" t="s">
        <v>913</v>
      </c>
      <c r="I1405" s="435">
        <v>100000</v>
      </c>
      <c r="J1405" s="435">
        <v>100000</v>
      </c>
      <c r="K1405" s="435">
        <v>55477.98</v>
      </c>
      <c r="L1405" s="517"/>
    </row>
    <row r="1406" spans="1:12" s="22" customFormat="1" ht="13.5">
      <c r="A1406" s="88"/>
      <c r="B1406" s="88"/>
      <c r="C1406" s="83"/>
      <c r="D1406" s="270"/>
      <c r="E1406" s="89"/>
      <c r="F1406" s="200" t="s">
        <v>93</v>
      </c>
      <c r="G1406" s="54">
        <v>472000</v>
      </c>
      <c r="H1406" s="23" t="s">
        <v>810</v>
      </c>
      <c r="I1406" s="434">
        <f>I1407</f>
        <v>350000</v>
      </c>
      <c r="J1406" s="434">
        <f>J1407</f>
        <v>550000</v>
      </c>
      <c r="K1406" s="434">
        <f>K1407</f>
        <v>430034.44</v>
      </c>
      <c r="L1406" s="517"/>
    </row>
    <row r="1407" spans="1:12" ht="12.75" customHeight="1" thickBot="1">
      <c r="A1407" s="86"/>
      <c r="B1407" s="86"/>
      <c r="C1407" s="83"/>
      <c r="D1407" s="270"/>
      <c r="E1407" s="87"/>
      <c r="F1407" s="200" t="s">
        <v>94</v>
      </c>
      <c r="G1407" s="524">
        <v>472700</v>
      </c>
      <c r="H1407" s="4" t="s">
        <v>926</v>
      </c>
      <c r="I1407" s="435">
        <v>350000</v>
      </c>
      <c r="J1407" s="688">
        <v>550000</v>
      </c>
      <c r="K1407" s="435">
        <v>430034.44</v>
      </c>
      <c r="L1407" s="517"/>
    </row>
    <row r="1408" spans="1:12" s="36" customFormat="1" ht="13.5" thickBot="1">
      <c r="A1408" s="82"/>
      <c r="B1408" s="82"/>
      <c r="C1408" s="214"/>
      <c r="D1408" s="270"/>
      <c r="E1408" s="83"/>
      <c r="F1408" s="200"/>
      <c r="G1408" s="524"/>
      <c r="H1408" s="94"/>
      <c r="I1408" s="435"/>
      <c r="J1408" s="435"/>
      <c r="K1408" s="435"/>
      <c r="L1408" s="517"/>
    </row>
    <row r="1409" spans="1:12" s="36" customFormat="1" ht="13.5" thickBot="1">
      <c r="A1409" s="82"/>
      <c r="B1409" s="82"/>
      <c r="C1409" s="214"/>
      <c r="D1409" s="270"/>
      <c r="E1409" s="83"/>
      <c r="F1409" s="200"/>
      <c r="G1409" s="524"/>
      <c r="H1409" s="127" t="s">
        <v>845</v>
      </c>
      <c r="I1409" s="481">
        <f>I1406+I1401+I1396+I1392+I1390+I1384+I1382+I1380+I1378+I1398</f>
        <v>21466000</v>
      </c>
      <c r="J1409" s="481">
        <f>J1406+J1401+J1398+J1396+J1392+J1390+J1384+J1382+J1380+J1378</f>
        <v>21466000</v>
      </c>
      <c r="K1409" s="603">
        <f>K1406+K1401+K1398+K1396+K1392+K1384+K1382+K1380+K1378+K1390</f>
        <v>8448931.58</v>
      </c>
      <c r="L1409" s="517"/>
    </row>
    <row r="1410" spans="1:12" s="36" customFormat="1" ht="13.5" thickBot="1">
      <c r="A1410" s="86"/>
      <c r="B1410" s="86"/>
      <c r="C1410" s="214"/>
      <c r="D1410" s="270"/>
      <c r="E1410" s="87"/>
      <c r="F1410" s="200"/>
      <c r="G1410" s="35"/>
      <c r="H1410" s="99"/>
      <c r="I1410" s="435"/>
      <c r="J1410" s="435"/>
      <c r="K1410" s="435"/>
      <c r="L1410" s="517"/>
    </row>
    <row r="1411" spans="1:12" s="36" customFormat="1" ht="12.75">
      <c r="A1411" s="82"/>
      <c r="B1411" s="82"/>
      <c r="C1411" s="214"/>
      <c r="D1411" s="270"/>
      <c r="E1411" s="83"/>
      <c r="F1411" s="200"/>
      <c r="G1411" s="35"/>
      <c r="H1411" s="132"/>
      <c r="I1411" s="436"/>
      <c r="J1411" s="436"/>
      <c r="K1411" s="436"/>
      <c r="L1411" s="517"/>
    </row>
    <row r="1412" spans="1:12" s="22" customFormat="1" ht="12.75" customHeight="1">
      <c r="A1412" s="100"/>
      <c r="B1412" s="100"/>
      <c r="C1412" s="211"/>
      <c r="D1412" s="268" t="s">
        <v>549</v>
      </c>
      <c r="E1412" s="101"/>
      <c r="F1412" s="199"/>
      <c r="G1412" s="543"/>
      <c r="H1412" s="102" t="s">
        <v>548</v>
      </c>
      <c r="I1412" s="468"/>
      <c r="J1412" s="468"/>
      <c r="K1412" s="468"/>
      <c r="L1412" s="517"/>
    </row>
    <row r="1413" spans="1:12" s="22" customFormat="1" ht="17.25" customHeight="1">
      <c r="A1413" s="88"/>
      <c r="B1413" s="88"/>
      <c r="C1413" s="212"/>
      <c r="D1413" s="269" t="s">
        <v>550</v>
      </c>
      <c r="E1413" s="89"/>
      <c r="F1413" s="200"/>
      <c r="G1413" s="527"/>
      <c r="H1413" s="93" t="s">
        <v>551</v>
      </c>
      <c r="I1413" s="432"/>
      <c r="J1413" s="432"/>
      <c r="K1413" s="432"/>
      <c r="L1413" s="517"/>
    </row>
    <row r="1414" spans="1:12" s="22" customFormat="1" ht="12.75">
      <c r="A1414" s="88"/>
      <c r="B1414" s="88"/>
      <c r="C1414" s="214"/>
      <c r="D1414" s="270"/>
      <c r="E1414" s="89"/>
      <c r="F1414" s="200"/>
      <c r="G1414" s="527"/>
      <c r="H1414" s="90" t="s">
        <v>695</v>
      </c>
      <c r="I1414" s="461"/>
      <c r="J1414" s="461"/>
      <c r="K1414" s="461"/>
      <c r="L1414" s="517"/>
    </row>
    <row r="1415" spans="1:12" s="22" customFormat="1" ht="13.5">
      <c r="A1415" s="88"/>
      <c r="B1415" s="88"/>
      <c r="C1415" s="214"/>
      <c r="D1415" s="270"/>
      <c r="E1415" s="89"/>
      <c r="F1415" s="200" t="s">
        <v>95</v>
      </c>
      <c r="G1415" s="535">
        <v>413000</v>
      </c>
      <c r="H1415" s="242" t="s">
        <v>824</v>
      </c>
      <c r="I1415" s="454">
        <f>I1416</f>
        <v>914000</v>
      </c>
      <c r="J1415" s="454">
        <f>J1416</f>
        <v>914000</v>
      </c>
      <c r="K1415" s="454">
        <f>K1416</f>
        <v>475484.72</v>
      </c>
      <c r="L1415" s="517"/>
    </row>
    <row r="1416" spans="1:12" ht="12.75">
      <c r="A1416" s="86"/>
      <c r="B1416" s="86"/>
      <c r="C1416" s="214"/>
      <c r="D1416" s="270"/>
      <c r="E1416" s="87"/>
      <c r="F1416" s="200" t="s">
        <v>96</v>
      </c>
      <c r="G1416" s="536">
        <v>413100</v>
      </c>
      <c r="H1416" s="245" t="s">
        <v>824</v>
      </c>
      <c r="I1416" s="435">
        <v>914000</v>
      </c>
      <c r="J1416" s="435">
        <v>914000</v>
      </c>
      <c r="K1416" s="435">
        <v>475484.72</v>
      </c>
      <c r="L1416" s="517"/>
    </row>
    <row r="1417" spans="1:12" s="22" customFormat="1" ht="13.5">
      <c r="A1417" s="88"/>
      <c r="B1417" s="88"/>
      <c r="C1417" s="214"/>
      <c r="D1417" s="270"/>
      <c r="E1417" s="89"/>
      <c r="F1417" s="200" t="s">
        <v>97</v>
      </c>
      <c r="G1417" s="535">
        <v>415000</v>
      </c>
      <c r="H1417" s="242" t="s">
        <v>852</v>
      </c>
      <c r="I1417" s="454">
        <f>I1418</f>
        <v>1523000</v>
      </c>
      <c r="J1417" s="454">
        <f>J1418</f>
        <v>1523000</v>
      </c>
      <c r="K1417" s="454">
        <f>K1418</f>
        <v>653573.88</v>
      </c>
      <c r="L1417" s="517"/>
    </row>
    <row r="1418" spans="1:12" ht="12.75">
      <c r="A1418" s="86"/>
      <c r="B1418" s="86"/>
      <c r="C1418" s="214"/>
      <c r="D1418" s="270"/>
      <c r="E1418" s="87"/>
      <c r="F1418" s="200" t="s">
        <v>98</v>
      </c>
      <c r="G1418" s="536">
        <v>415100</v>
      </c>
      <c r="H1418" s="245" t="s">
        <v>852</v>
      </c>
      <c r="I1418" s="435">
        <v>1523000</v>
      </c>
      <c r="J1418" s="435">
        <v>1523000</v>
      </c>
      <c r="K1418" s="435">
        <v>653573.88</v>
      </c>
      <c r="L1418" s="517"/>
    </row>
    <row r="1419" spans="1:12" s="22" customFormat="1" ht="13.5">
      <c r="A1419" s="88"/>
      <c r="B1419" s="88"/>
      <c r="C1419" s="214"/>
      <c r="D1419" s="270"/>
      <c r="E1419" s="89"/>
      <c r="F1419" s="200" t="s">
        <v>99</v>
      </c>
      <c r="G1419" s="54">
        <v>416000</v>
      </c>
      <c r="H1419" s="20" t="s">
        <v>853</v>
      </c>
      <c r="I1419" s="434">
        <f>I1420</f>
        <v>600000</v>
      </c>
      <c r="J1419" s="434">
        <f>J1420</f>
        <v>600000</v>
      </c>
      <c r="K1419" s="434">
        <f>K1420</f>
        <v>29895.99</v>
      </c>
      <c r="L1419" s="517"/>
    </row>
    <row r="1420" spans="1:12" ht="12.75">
      <c r="A1420" s="86"/>
      <c r="B1420" s="86"/>
      <c r="C1420" s="214"/>
      <c r="D1420" s="270"/>
      <c r="E1420" s="87"/>
      <c r="F1420" s="200" t="s">
        <v>100</v>
      </c>
      <c r="G1420" s="35">
        <v>416100</v>
      </c>
      <c r="H1420" s="4" t="s">
        <v>853</v>
      </c>
      <c r="I1420" s="435">
        <v>600000</v>
      </c>
      <c r="J1420" s="435">
        <v>600000</v>
      </c>
      <c r="K1420" s="435">
        <v>29895.99</v>
      </c>
      <c r="L1420" s="517"/>
    </row>
    <row r="1421" spans="1:12" s="22" customFormat="1" ht="13.5">
      <c r="A1421" s="88"/>
      <c r="B1421" s="88"/>
      <c r="C1421" s="214"/>
      <c r="D1421" s="270"/>
      <c r="E1421" s="89"/>
      <c r="F1421" s="200" t="s">
        <v>101</v>
      </c>
      <c r="G1421" s="54">
        <v>421000</v>
      </c>
      <c r="H1421" s="20" t="s">
        <v>799</v>
      </c>
      <c r="I1421" s="434">
        <f>I1422+I1423</f>
        <v>160500</v>
      </c>
      <c r="J1421" s="434">
        <f>J1422+J1423</f>
        <v>160500</v>
      </c>
      <c r="K1421" s="434">
        <f>K1422+K1423</f>
        <v>79480.85</v>
      </c>
      <c r="L1421" s="517"/>
    </row>
    <row r="1422" spans="1:12" ht="12.75">
      <c r="A1422" s="86"/>
      <c r="B1422" s="86"/>
      <c r="C1422" s="214"/>
      <c r="D1422" s="270"/>
      <c r="E1422" s="87"/>
      <c r="F1422" s="200" t="s">
        <v>102</v>
      </c>
      <c r="G1422" s="35">
        <v>421100</v>
      </c>
      <c r="H1422" s="4" t="s">
        <v>894</v>
      </c>
      <c r="I1422" s="435">
        <v>130000</v>
      </c>
      <c r="J1422" s="435">
        <v>130000</v>
      </c>
      <c r="K1422" s="435">
        <v>74722.77</v>
      </c>
      <c r="L1422" s="517"/>
    </row>
    <row r="1423" spans="1:12" ht="12.75">
      <c r="A1423" s="82"/>
      <c r="B1423" s="82"/>
      <c r="C1423" s="214"/>
      <c r="D1423" s="270"/>
      <c r="E1423" s="83"/>
      <c r="F1423" s="200" t="s">
        <v>103</v>
      </c>
      <c r="G1423" s="35">
        <v>421400</v>
      </c>
      <c r="H1423" s="5" t="s">
        <v>883</v>
      </c>
      <c r="I1423" s="435">
        <v>30500</v>
      </c>
      <c r="J1423" s="435">
        <v>30500</v>
      </c>
      <c r="K1423" s="435">
        <v>4758.08</v>
      </c>
      <c r="L1423" s="517"/>
    </row>
    <row r="1424" spans="1:12" s="22" customFormat="1" ht="13.5">
      <c r="A1424" s="88"/>
      <c r="B1424" s="88"/>
      <c r="C1424" s="214"/>
      <c r="D1424" s="270"/>
      <c r="E1424" s="89"/>
      <c r="F1424" s="200" t="s">
        <v>104</v>
      </c>
      <c r="G1424" s="54">
        <v>422000</v>
      </c>
      <c r="H1424" s="23" t="s">
        <v>793</v>
      </c>
      <c r="I1424" s="434">
        <f>I1425</f>
        <v>10000</v>
      </c>
      <c r="J1424" s="434">
        <f>J1425</f>
        <v>10000</v>
      </c>
      <c r="K1424" s="434">
        <f>K1425</f>
        <v>0</v>
      </c>
      <c r="L1424" s="517"/>
    </row>
    <row r="1425" spans="1:12" ht="12.75" customHeight="1">
      <c r="A1425" s="86"/>
      <c r="B1425" s="86"/>
      <c r="C1425" s="214"/>
      <c r="D1425" s="270"/>
      <c r="E1425" s="87"/>
      <c r="F1425" s="200" t="s">
        <v>648</v>
      </c>
      <c r="G1425" s="35">
        <v>422100</v>
      </c>
      <c r="H1425" s="5" t="s">
        <v>899</v>
      </c>
      <c r="I1425" s="435">
        <v>10000</v>
      </c>
      <c r="J1425" s="435">
        <v>10000</v>
      </c>
      <c r="K1425" s="435">
        <v>0</v>
      </c>
      <c r="L1425" s="517"/>
    </row>
    <row r="1426" spans="1:12" s="22" customFormat="1" ht="13.5">
      <c r="A1426" s="88"/>
      <c r="B1426" s="88"/>
      <c r="C1426" s="214"/>
      <c r="D1426" s="270"/>
      <c r="E1426" s="89"/>
      <c r="F1426" s="200" t="s">
        <v>105</v>
      </c>
      <c r="G1426" s="54">
        <v>423000</v>
      </c>
      <c r="H1426" s="20" t="s">
        <v>794</v>
      </c>
      <c r="I1426" s="434">
        <f>I1427</f>
        <v>51000</v>
      </c>
      <c r="J1426" s="434">
        <f>J1427</f>
        <v>51000</v>
      </c>
      <c r="K1426" s="434">
        <f>K1427</f>
        <v>0</v>
      </c>
      <c r="L1426" s="517"/>
    </row>
    <row r="1427" spans="1:12" ht="12.75">
      <c r="A1427" s="86"/>
      <c r="B1427" s="86"/>
      <c r="C1427" s="214"/>
      <c r="D1427" s="270"/>
      <c r="E1427" s="87"/>
      <c r="F1427" s="200" t="s">
        <v>106</v>
      </c>
      <c r="G1427" s="524">
        <v>423300</v>
      </c>
      <c r="H1427" s="5" t="s">
        <v>902</v>
      </c>
      <c r="I1427" s="435">
        <v>51000</v>
      </c>
      <c r="J1427" s="435">
        <v>51000</v>
      </c>
      <c r="K1427" s="435">
        <v>0</v>
      </c>
      <c r="L1427" s="517"/>
    </row>
    <row r="1428" spans="1:12" ht="13.5">
      <c r="A1428" s="86"/>
      <c r="B1428" s="86"/>
      <c r="C1428" s="214"/>
      <c r="D1428" s="270"/>
      <c r="E1428" s="87"/>
      <c r="F1428" s="200" t="s">
        <v>107</v>
      </c>
      <c r="G1428" s="529" t="s">
        <v>361</v>
      </c>
      <c r="H1428" s="20" t="s">
        <v>800</v>
      </c>
      <c r="I1428" s="434">
        <f>I1429+I1430</f>
        <v>330000</v>
      </c>
      <c r="J1428" s="434">
        <f>J1429+J1430</f>
        <v>330000</v>
      </c>
      <c r="K1428" s="434">
        <f>K1429+K1430</f>
        <v>14400</v>
      </c>
      <c r="L1428" s="517"/>
    </row>
    <row r="1429" spans="1:12" ht="12.75">
      <c r="A1429" s="86"/>
      <c r="B1429" s="86"/>
      <c r="C1429" s="214"/>
      <c r="D1429" s="270"/>
      <c r="E1429" s="87"/>
      <c r="F1429" s="200"/>
      <c r="G1429" s="524" t="s">
        <v>362</v>
      </c>
      <c r="H1429" s="4" t="s">
        <v>235</v>
      </c>
      <c r="I1429" s="435">
        <v>300000</v>
      </c>
      <c r="J1429" s="435">
        <v>300000</v>
      </c>
      <c r="K1429" s="447">
        <v>0</v>
      </c>
      <c r="L1429" s="517"/>
    </row>
    <row r="1430" spans="1:12" ht="12.75">
      <c r="A1430" s="86"/>
      <c r="B1430" s="86"/>
      <c r="C1430" s="214"/>
      <c r="D1430" s="270"/>
      <c r="E1430" s="87"/>
      <c r="F1430" s="200" t="s">
        <v>108</v>
      </c>
      <c r="G1430" s="524" t="s">
        <v>615</v>
      </c>
      <c r="H1430" s="240" t="s">
        <v>590</v>
      </c>
      <c r="I1430" s="435">
        <v>30000</v>
      </c>
      <c r="J1430" s="435">
        <v>30000</v>
      </c>
      <c r="K1430" s="435">
        <v>14400</v>
      </c>
      <c r="L1430" s="517"/>
    </row>
    <row r="1431" spans="1:12" s="22" customFormat="1" ht="13.5">
      <c r="A1431" s="88"/>
      <c r="B1431" s="88"/>
      <c r="C1431" s="214"/>
      <c r="D1431" s="270"/>
      <c r="E1431" s="89"/>
      <c r="F1431" s="200" t="s">
        <v>109</v>
      </c>
      <c r="G1431" s="528">
        <v>425000</v>
      </c>
      <c r="H1431" s="20" t="s">
        <v>797</v>
      </c>
      <c r="I1431" s="434">
        <f>I1432</f>
        <v>20300</v>
      </c>
      <c r="J1431" s="434">
        <f>J1432</f>
        <v>20300</v>
      </c>
      <c r="K1431" s="434">
        <f>K1432</f>
        <v>0</v>
      </c>
      <c r="L1431" s="517"/>
    </row>
    <row r="1432" spans="1:12" ht="12.75">
      <c r="A1432" s="86"/>
      <c r="B1432" s="86"/>
      <c r="C1432" s="214"/>
      <c r="D1432" s="270"/>
      <c r="E1432" s="87"/>
      <c r="F1432" s="200" t="s">
        <v>110</v>
      </c>
      <c r="G1432" s="524">
        <v>425200</v>
      </c>
      <c r="H1432" s="4" t="s">
        <v>910</v>
      </c>
      <c r="I1432" s="435">
        <v>20300</v>
      </c>
      <c r="J1432" s="435">
        <v>20300</v>
      </c>
      <c r="K1432" s="435">
        <v>0</v>
      </c>
      <c r="L1432" s="517"/>
    </row>
    <row r="1433" spans="1:12" s="22" customFormat="1" ht="13.5">
      <c r="A1433" s="88"/>
      <c r="B1433" s="88"/>
      <c r="C1433" s="214"/>
      <c r="D1433" s="270"/>
      <c r="E1433" s="89"/>
      <c r="F1433" s="200" t="s">
        <v>111</v>
      </c>
      <c r="G1433" s="528">
        <v>426000</v>
      </c>
      <c r="H1433" s="20" t="s">
        <v>795</v>
      </c>
      <c r="I1433" s="434">
        <f>I1434+I1435+I1436+I1437</f>
        <v>156900</v>
      </c>
      <c r="J1433" s="434">
        <f>J1434+J1435+J1436+J1437</f>
        <v>156900</v>
      </c>
      <c r="K1433" s="434">
        <f>K1434+K1435+K1436+K1437</f>
        <v>31824.260000000002</v>
      </c>
      <c r="L1433" s="517"/>
    </row>
    <row r="1434" spans="1:12" ht="12.75">
      <c r="A1434" s="86"/>
      <c r="B1434" s="86"/>
      <c r="C1434" s="214"/>
      <c r="D1434" s="270"/>
      <c r="E1434" s="87"/>
      <c r="F1434" s="200" t="s">
        <v>112</v>
      </c>
      <c r="G1434" s="524">
        <v>426100</v>
      </c>
      <c r="H1434" s="4" t="s">
        <v>911</v>
      </c>
      <c r="I1434" s="435">
        <v>40600</v>
      </c>
      <c r="J1434" s="435">
        <v>40600</v>
      </c>
      <c r="K1434" s="435">
        <v>0</v>
      </c>
      <c r="L1434" s="517"/>
    </row>
    <row r="1435" spans="1:12" ht="12.75">
      <c r="A1435" s="82"/>
      <c r="B1435" s="82"/>
      <c r="C1435" s="214"/>
      <c r="D1435" s="270"/>
      <c r="E1435" s="83"/>
      <c r="F1435" s="200" t="s">
        <v>113</v>
      </c>
      <c r="G1435" s="524">
        <v>426300</v>
      </c>
      <c r="H1435" s="5" t="s">
        <v>922</v>
      </c>
      <c r="I1435" s="435">
        <v>20300</v>
      </c>
      <c r="J1435" s="435">
        <v>20300</v>
      </c>
      <c r="K1435" s="435">
        <v>19200</v>
      </c>
      <c r="L1435" s="517"/>
    </row>
    <row r="1436" spans="1:12" ht="12.75">
      <c r="A1436" s="82"/>
      <c r="B1436" s="82"/>
      <c r="C1436" s="214"/>
      <c r="D1436" s="270"/>
      <c r="E1436" s="83"/>
      <c r="F1436" s="200" t="s">
        <v>114</v>
      </c>
      <c r="G1436" s="524">
        <v>426600</v>
      </c>
      <c r="H1436" s="5" t="s">
        <v>923</v>
      </c>
      <c r="I1436" s="435">
        <v>21000</v>
      </c>
      <c r="J1436" s="435">
        <v>21000</v>
      </c>
      <c r="K1436" s="435">
        <v>0</v>
      </c>
      <c r="L1436" s="517"/>
    </row>
    <row r="1437" spans="1:12" ht="12.75">
      <c r="A1437" s="82"/>
      <c r="B1437" s="82"/>
      <c r="C1437" s="214"/>
      <c r="D1437" s="270"/>
      <c r="E1437" s="83"/>
      <c r="F1437" s="200" t="s">
        <v>115</v>
      </c>
      <c r="G1437" s="524">
        <v>426800</v>
      </c>
      <c r="H1437" s="5" t="s">
        <v>913</v>
      </c>
      <c r="I1437" s="435">
        <v>75000</v>
      </c>
      <c r="J1437" s="435">
        <v>75000</v>
      </c>
      <c r="K1437" s="435">
        <v>12624.26</v>
      </c>
      <c r="L1437" s="517"/>
    </row>
    <row r="1438" spans="1:12" ht="13.5">
      <c r="A1438" s="82"/>
      <c r="B1438" s="82"/>
      <c r="C1438" s="214"/>
      <c r="D1438" s="270"/>
      <c r="E1438" s="83"/>
      <c r="F1438" s="200"/>
      <c r="G1438" s="529" t="s">
        <v>521</v>
      </c>
      <c r="H1438" s="41" t="s">
        <v>810</v>
      </c>
      <c r="I1438" s="434">
        <f>I1439</f>
        <v>200000</v>
      </c>
      <c r="J1438" s="434">
        <f>J1439</f>
        <v>200000</v>
      </c>
      <c r="K1438" s="436">
        <f>K1439</f>
        <v>192041.67</v>
      </c>
      <c r="L1438" s="517"/>
    </row>
    <row r="1439" spans="1:12" ht="12.75">
      <c r="A1439" s="82"/>
      <c r="B1439" s="82"/>
      <c r="C1439" s="214"/>
      <c r="D1439" s="270"/>
      <c r="E1439" s="83"/>
      <c r="F1439" s="200"/>
      <c r="G1439" s="524" t="s">
        <v>613</v>
      </c>
      <c r="H1439" s="5" t="s">
        <v>810</v>
      </c>
      <c r="I1439" s="435">
        <v>200000</v>
      </c>
      <c r="J1439" s="435">
        <v>200000</v>
      </c>
      <c r="K1439" s="435">
        <v>192041.67</v>
      </c>
      <c r="L1439" s="517"/>
    </row>
    <row r="1440" spans="1:12" ht="13.5">
      <c r="A1440" s="82"/>
      <c r="B1440" s="82"/>
      <c r="C1440" s="214"/>
      <c r="D1440" s="270"/>
      <c r="E1440" s="83"/>
      <c r="F1440" s="200" t="s">
        <v>116</v>
      </c>
      <c r="G1440" s="529" t="s">
        <v>618</v>
      </c>
      <c r="H1440" s="246" t="s">
        <v>591</v>
      </c>
      <c r="I1440" s="434">
        <f>I1441</f>
        <v>20300</v>
      </c>
      <c r="J1440" s="434">
        <f>J1441</f>
        <v>20300</v>
      </c>
      <c r="K1440" s="436">
        <f>K1441</f>
        <v>0</v>
      </c>
      <c r="L1440" s="517"/>
    </row>
    <row r="1441" spans="1:12" ht="13.5" thickBot="1">
      <c r="A1441" s="82"/>
      <c r="B1441" s="82"/>
      <c r="C1441" s="214"/>
      <c r="D1441" s="270"/>
      <c r="E1441" s="83"/>
      <c r="F1441" s="200" t="s">
        <v>117</v>
      </c>
      <c r="G1441" s="524" t="s">
        <v>614</v>
      </c>
      <c r="H1441" s="240" t="s">
        <v>591</v>
      </c>
      <c r="I1441" s="435">
        <v>20300</v>
      </c>
      <c r="J1441" s="435">
        <v>20300</v>
      </c>
      <c r="K1441" s="435">
        <v>0</v>
      </c>
      <c r="L1441" s="517"/>
    </row>
    <row r="1442" spans="1:12" s="36" customFormat="1" ht="13.5" thickBot="1">
      <c r="A1442" s="82"/>
      <c r="B1442" s="82"/>
      <c r="C1442" s="214"/>
      <c r="D1442" s="270"/>
      <c r="E1442" s="83"/>
      <c r="F1442" s="200"/>
      <c r="G1442" s="524"/>
      <c r="H1442" s="94"/>
      <c r="I1442" s="435"/>
      <c r="J1442" s="435"/>
      <c r="K1442" s="435"/>
      <c r="L1442" s="517"/>
    </row>
    <row r="1443" spans="1:12" s="36" customFormat="1" ht="13.5" thickBot="1">
      <c r="A1443" s="82"/>
      <c r="B1443" s="82"/>
      <c r="C1443" s="214"/>
      <c r="D1443" s="270"/>
      <c r="E1443" s="83"/>
      <c r="F1443" s="200"/>
      <c r="G1443" s="524"/>
      <c r="H1443" s="127" t="s">
        <v>846</v>
      </c>
      <c r="I1443" s="481">
        <f>I1415+I1417+I1419+I1421+I1424+I1426+I1428+I1431+I1433+I1438+I1440</f>
        <v>3986000</v>
      </c>
      <c r="J1443" s="481">
        <f>J1415+J1417+J1419+J1421+J1424+J1426+J1428+J1431+J1433+J1438+J1440</f>
        <v>3986000</v>
      </c>
      <c r="K1443" s="603">
        <f>K1440+K1438+K1433+K1431+K1428+K1426+K1424+K1421+K1419+K1417+K1415</f>
        <v>1476701.37</v>
      </c>
      <c r="L1443" s="517"/>
    </row>
    <row r="1444" spans="1:12" s="36" customFormat="1" ht="12.75">
      <c r="A1444" s="82"/>
      <c r="B1444" s="82"/>
      <c r="C1444" s="214"/>
      <c r="D1444" s="270"/>
      <c r="E1444" s="83"/>
      <c r="F1444" s="200"/>
      <c r="G1444" s="524"/>
      <c r="H1444" s="128"/>
      <c r="I1444" s="436"/>
      <c r="J1444" s="436"/>
      <c r="K1444" s="436"/>
      <c r="L1444" s="517"/>
    </row>
    <row r="1445" spans="1:12" s="36" customFormat="1" ht="12.75">
      <c r="A1445" s="86"/>
      <c r="B1445" s="86"/>
      <c r="C1445" s="214"/>
      <c r="D1445" s="270"/>
      <c r="E1445" s="87"/>
      <c r="F1445" s="200"/>
      <c r="G1445" s="35"/>
      <c r="H1445" s="99"/>
      <c r="I1445" s="435"/>
      <c r="J1445" s="435"/>
      <c r="K1445" s="435"/>
      <c r="L1445" s="517"/>
    </row>
    <row r="1446" spans="1:12" s="22" customFormat="1" ht="12.75" customHeight="1">
      <c r="A1446" s="100"/>
      <c r="B1446" s="100"/>
      <c r="C1446" s="211"/>
      <c r="D1446" s="268"/>
      <c r="E1446" s="101"/>
      <c r="F1446" s="199"/>
      <c r="G1446" s="543"/>
      <c r="H1446" s="102"/>
      <c r="I1446" s="468"/>
      <c r="J1446" s="468"/>
      <c r="K1446" s="468"/>
      <c r="L1446" s="517"/>
    </row>
    <row r="1447" spans="1:12" s="22" customFormat="1" ht="17.25" customHeight="1">
      <c r="A1447" s="88"/>
      <c r="B1447" s="88"/>
      <c r="C1447" s="212"/>
      <c r="D1447" s="269" t="s">
        <v>550</v>
      </c>
      <c r="E1447" s="89"/>
      <c r="F1447" s="200"/>
      <c r="G1447" s="527"/>
      <c r="H1447" s="93" t="s">
        <v>551</v>
      </c>
      <c r="I1447" s="432"/>
      <c r="J1447" s="432"/>
      <c r="K1447" s="432"/>
      <c r="L1447" s="517"/>
    </row>
    <row r="1448" spans="1:12" s="22" customFormat="1" ht="13.5">
      <c r="A1448" s="88"/>
      <c r="B1448" s="88"/>
      <c r="C1448" s="214"/>
      <c r="D1448" s="270"/>
      <c r="E1448" s="89"/>
      <c r="F1448" s="200"/>
      <c r="G1448" s="527"/>
      <c r="H1448" s="91" t="s">
        <v>701</v>
      </c>
      <c r="I1448" s="461"/>
      <c r="J1448" s="461"/>
      <c r="K1448" s="461"/>
      <c r="L1448" s="517"/>
    </row>
    <row r="1449" spans="1:12" s="22" customFormat="1" ht="13.5">
      <c r="A1449" s="88"/>
      <c r="B1449" s="88"/>
      <c r="C1449" s="214"/>
      <c r="D1449" s="270"/>
      <c r="E1449" s="89"/>
      <c r="F1449" s="200" t="s">
        <v>118</v>
      </c>
      <c r="G1449" s="535">
        <v>413000</v>
      </c>
      <c r="H1449" s="242" t="s">
        <v>824</v>
      </c>
      <c r="I1449" s="454">
        <f>I1450</f>
        <v>2340000</v>
      </c>
      <c r="J1449" s="454">
        <f>J1450</f>
        <v>2340000</v>
      </c>
      <c r="K1449" s="454">
        <f>K1450</f>
        <v>973464.53</v>
      </c>
      <c r="L1449" s="517"/>
    </row>
    <row r="1450" spans="1:12" ht="12.75">
      <c r="A1450" s="86"/>
      <c r="B1450" s="86"/>
      <c r="C1450" s="214"/>
      <c r="D1450" s="270"/>
      <c r="E1450" s="87"/>
      <c r="F1450" s="200" t="s">
        <v>119</v>
      </c>
      <c r="G1450" s="536">
        <v>413100</v>
      </c>
      <c r="H1450" s="245" t="s">
        <v>824</v>
      </c>
      <c r="I1450" s="435">
        <v>2340000</v>
      </c>
      <c r="J1450" s="435">
        <v>2340000</v>
      </c>
      <c r="K1450" s="435">
        <v>973464.53</v>
      </c>
      <c r="L1450" s="517"/>
    </row>
    <row r="1451" spans="1:12" s="22" customFormat="1" ht="13.5">
      <c r="A1451" s="88"/>
      <c r="B1451" s="88"/>
      <c r="C1451" s="214"/>
      <c r="D1451" s="270"/>
      <c r="E1451" s="89"/>
      <c r="F1451" s="200" t="s">
        <v>120</v>
      </c>
      <c r="G1451" s="535">
        <v>415000</v>
      </c>
      <c r="H1451" s="242" t="s">
        <v>852</v>
      </c>
      <c r="I1451" s="454">
        <f>I1452</f>
        <v>2845000</v>
      </c>
      <c r="J1451" s="454">
        <f>J1452</f>
        <v>2845000</v>
      </c>
      <c r="K1451" s="454">
        <f>K1452</f>
        <v>1206755.3</v>
      </c>
      <c r="L1451" s="517"/>
    </row>
    <row r="1452" spans="1:12" ht="12.75">
      <c r="A1452" s="86"/>
      <c r="B1452" s="86"/>
      <c r="C1452" s="214"/>
      <c r="D1452" s="270"/>
      <c r="E1452" s="87"/>
      <c r="F1452" s="200" t="s">
        <v>121</v>
      </c>
      <c r="G1452" s="536">
        <v>415100</v>
      </c>
      <c r="H1452" s="245" t="s">
        <v>852</v>
      </c>
      <c r="I1452" s="455">
        <v>2845000</v>
      </c>
      <c r="J1452" s="455">
        <v>2845000</v>
      </c>
      <c r="K1452" s="455">
        <v>1206755.3</v>
      </c>
      <c r="L1452" s="517"/>
    </row>
    <row r="1453" spans="1:12" s="22" customFormat="1" ht="13.5">
      <c r="A1453" s="88"/>
      <c r="B1453" s="88"/>
      <c r="C1453" s="214"/>
      <c r="D1453" s="270"/>
      <c r="E1453" s="89"/>
      <c r="F1453" s="200" t="s">
        <v>122</v>
      </c>
      <c r="G1453" s="54">
        <v>416000</v>
      </c>
      <c r="H1453" s="20" t="s">
        <v>853</v>
      </c>
      <c r="I1453" s="434">
        <f>I1454</f>
        <v>1200000</v>
      </c>
      <c r="J1453" s="434">
        <f>J1454</f>
        <v>1200000</v>
      </c>
      <c r="K1453" s="434">
        <f>K1454</f>
        <v>250237.23</v>
      </c>
      <c r="L1453" s="517"/>
    </row>
    <row r="1454" spans="1:12" ht="12.75">
      <c r="A1454" s="86"/>
      <c r="B1454" s="86"/>
      <c r="C1454" s="214"/>
      <c r="D1454" s="270"/>
      <c r="E1454" s="87"/>
      <c r="F1454" s="200" t="s">
        <v>123</v>
      </c>
      <c r="G1454" s="35">
        <v>416100</v>
      </c>
      <c r="H1454" s="4" t="s">
        <v>853</v>
      </c>
      <c r="I1454" s="435">
        <v>1200000</v>
      </c>
      <c r="J1454" s="435">
        <v>1200000</v>
      </c>
      <c r="K1454" s="435">
        <v>250237.23</v>
      </c>
      <c r="L1454" s="517"/>
    </row>
    <row r="1455" spans="1:12" s="22" customFormat="1" ht="13.5">
      <c r="A1455" s="88"/>
      <c r="B1455" s="88"/>
      <c r="C1455" s="214"/>
      <c r="D1455" s="270"/>
      <c r="E1455" s="89"/>
      <c r="F1455" s="200" t="s">
        <v>124</v>
      </c>
      <c r="G1455" s="54">
        <v>421000</v>
      </c>
      <c r="H1455" s="20" t="s">
        <v>799</v>
      </c>
      <c r="I1455" s="434">
        <f>I1456+I1457+I1458+I1459+I1460</f>
        <v>7520000</v>
      </c>
      <c r="J1455" s="434">
        <f>J1456+J1457+J1458+J1459+J1460</f>
        <v>7320000</v>
      </c>
      <c r="K1455" s="434">
        <f>K1456+K1457+K1458+K1459+K1460</f>
        <v>2945128.75</v>
      </c>
      <c r="L1455" s="517"/>
    </row>
    <row r="1456" spans="1:12" ht="12.75">
      <c r="A1456" s="86"/>
      <c r="B1456" s="86"/>
      <c r="C1456" s="214"/>
      <c r="D1456" s="270"/>
      <c r="E1456" s="87"/>
      <c r="F1456" s="200" t="s">
        <v>125</v>
      </c>
      <c r="G1456" s="35">
        <v>421100</v>
      </c>
      <c r="H1456" s="4" t="s">
        <v>894</v>
      </c>
      <c r="I1456" s="435">
        <v>200000</v>
      </c>
      <c r="J1456" s="435">
        <v>200000</v>
      </c>
      <c r="K1456" s="435">
        <v>95000</v>
      </c>
      <c r="L1456" s="517"/>
    </row>
    <row r="1457" spans="1:12" ht="12.75">
      <c r="A1457" s="82"/>
      <c r="B1457" s="82"/>
      <c r="C1457" s="214"/>
      <c r="D1457" s="270"/>
      <c r="E1457" s="83"/>
      <c r="F1457" s="200" t="s">
        <v>126</v>
      </c>
      <c r="G1457" s="35">
        <v>421200</v>
      </c>
      <c r="H1457" s="4" t="s">
        <v>920</v>
      </c>
      <c r="I1457" s="435">
        <v>6600000</v>
      </c>
      <c r="J1457" s="688">
        <v>6400000</v>
      </c>
      <c r="K1457" s="435">
        <v>2576414.46</v>
      </c>
      <c r="L1457" s="517"/>
    </row>
    <row r="1458" spans="1:12" ht="12.75">
      <c r="A1458" s="82"/>
      <c r="B1458" s="82"/>
      <c r="C1458" s="214"/>
      <c r="D1458" s="270"/>
      <c r="E1458" s="83"/>
      <c r="F1458" s="200" t="s">
        <v>127</v>
      </c>
      <c r="G1458" s="524">
        <v>421300</v>
      </c>
      <c r="H1458" s="5" t="s">
        <v>896</v>
      </c>
      <c r="I1458" s="435">
        <v>550000</v>
      </c>
      <c r="J1458" s="435">
        <v>550000</v>
      </c>
      <c r="K1458" s="435">
        <v>255714.29</v>
      </c>
      <c r="L1458" s="517"/>
    </row>
    <row r="1459" spans="1:12" ht="12.75">
      <c r="A1459" s="82"/>
      <c r="B1459" s="82"/>
      <c r="C1459" s="214"/>
      <c r="D1459" s="270"/>
      <c r="E1459" s="83"/>
      <c r="F1459" s="200" t="s">
        <v>128</v>
      </c>
      <c r="G1459" s="35">
        <v>421400</v>
      </c>
      <c r="H1459" s="5" t="s">
        <v>883</v>
      </c>
      <c r="I1459" s="435">
        <v>70000</v>
      </c>
      <c r="J1459" s="435">
        <v>70000</v>
      </c>
      <c r="K1459" s="435">
        <v>18000</v>
      </c>
      <c r="L1459" s="517"/>
    </row>
    <row r="1460" spans="1:12" ht="12.75">
      <c r="A1460" s="82"/>
      <c r="B1460" s="82"/>
      <c r="C1460" s="214"/>
      <c r="D1460" s="270"/>
      <c r="E1460" s="83"/>
      <c r="F1460" s="200" t="s">
        <v>129</v>
      </c>
      <c r="G1460" s="35">
        <v>421500</v>
      </c>
      <c r="H1460" s="4" t="s">
        <v>897</v>
      </c>
      <c r="I1460" s="435">
        <v>100000</v>
      </c>
      <c r="J1460" s="435">
        <v>100000</v>
      </c>
      <c r="K1460" s="435">
        <v>0</v>
      </c>
      <c r="L1460" s="517"/>
    </row>
    <row r="1461" spans="1:12" s="22" customFormat="1" ht="13.5">
      <c r="A1461" s="88"/>
      <c r="B1461" s="88"/>
      <c r="C1461" s="214"/>
      <c r="D1461" s="270"/>
      <c r="E1461" s="89"/>
      <c r="F1461" s="200" t="s">
        <v>130</v>
      </c>
      <c r="G1461" s="54">
        <v>422000</v>
      </c>
      <c r="H1461" s="20" t="s">
        <v>793</v>
      </c>
      <c r="I1461" s="434">
        <f>I1462</f>
        <v>10000</v>
      </c>
      <c r="J1461" s="434">
        <f>J1462</f>
        <v>10000</v>
      </c>
      <c r="K1461" s="434">
        <f>K1462</f>
        <v>0</v>
      </c>
      <c r="L1461" s="517"/>
    </row>
    <row r="1462" spans="1:12" ht="12.75">
      <c r="A1462" s="86"/>
      <c r="B1462" s="86"/>
      <c r="C1462" s="214"/>
      <c r="D1462" s="270"/>
      <c r="E1462" s="87"/>
      <c r="F1462" s="200" t="s">
        <v>132</v>
      </c>
      <c r="G1462" s="35">
        <v>422100</v>
      </c>
      <c r="H1462" s="4" t="s">
        <v>899</v>
      </c>
      <c r="I1462" s="435">
        <v>10000</v>
      </c>
      <c r="J1462" s="435">
        <v>10000</v>
      </c>
      <c r="K1462" s="435">
        <v>0</v>
      </c>
      <c r="L1462" s="517"/>
    </row>
    <row r="1463" spans="1:12" s="22" customFormat="1" ht="13.5">
      <c r="A1463" s="88"/>
      <c r="B1463" s="88"/>
      <c r="C1463" s="214"/>
      <c r="D1463" s="270"/>
      <c r="E1463" s="89"/>
      <c r="F1463" s="200" t="s">
        <v>133</v>
      </c>
      <c r="G1463" s="54">
        <v>423000</v>
      </c>
      <c r="H1463" s="20" t="s">
        <v>794</v>
      </c>
      <c r="I1463" s="434">
        <f>I1464+I1465+I1466+I1467</f>
        <v>125000</v>
      </c>
      <c r="J1463" s="434">
        <f>J1464+J1465+J1466+J1467</f>
        <v>125000</v>
      </c>
      <c r="K1463" s="434">
        <f>K1464+K1465+K1466+K1467</f>
        <v>12600</v>
      </c>
      <c r="L1463" s="517"/>
    </row>
    <row r="1464" spans="1:12" ht="12.75">
      <c r="A1464" s="86"/>
      <c r="B1464" s="86"/>
      <c r="C1464" s="214"/>
      <c r="D1464" s="270"/>
      <c r="E1464" s="87"/>
      <c r="F1464" s="200" t="s">
        <v>134</v>
      </c>
      <c r="G1464" s="524">
        <v>423200</v>
      </c>
      <c r="H1464" s="4" t="s">
        <v>901</v>
      </c>
      <c r="I1464" s="435">
        <v>25000</v>
      </c>
      <c r="J1464" s="435">
        <v>25000</v>
      </c>
      <c r="K1464" s="435">
        <v>12600</v>
      </c>
      <c r="L1464" s="517"/>
    </row>
    <row r="1465" spans="1:12" ht="12.75">
      <c r="A1465" s="82"/>
      <c r="B1465" s="82"/>
      <c r="C1465" s="214"/>
      <c r="D1465" s="270"/>
      <c r="E1465" s="83"/>
      <c r="F1465" s="200" t="s">
        <v>135</v>
      </c>
      <c r="G1465" s="524">
        <v>423300</v>
      </c>
      <c r="H1465" s="5" t="s">
        <v>902</v>
      </c>
      <c r="I1465" s="435">
        <v>20000</v>
      </c>
      <c r="J1465" s="435">
        <v>20000</v>
      </c>
      <c r="K1465" s="435">
        <v>0</v>
      </c>
      <c r="L1465" s="517"/>
    </row>
    <row r="1466" spans="1:12" ht="12.75">
      <c r="A1466" s="82"/>
      <c r="B1466" s="82"/>
      <c r="C1466" s="214"/>
      <c r="D1466" s="270"/>
      <c r="E1466" s="83"/>
      <c r="F1466" s="200" t="s">
        <v>136</v>
      </c>
      <c r="G1466" s="524" t="s">
        <v>620</v>
      </c>
      <c r="H1466" s="240" t="s">
        <v>535</v>
      </c>
      <c r="I1466" s="435">
        <v>20000</v>
      </c>
      <c r="J1466" s="435">
        <v>20000</v>
      </c>
      <c r="K1466" s="435">
        <v>0</v>
      </c>
      <c r="L1466" s="517"/>
    </row>
    <row r="1467" spans="1:12" ht="12.75">
      <c r="A1467" s="82"/>
      <c r="B1467" s="82"/>
      <c r="C1467" s="214"/>
      <c r="D1467" s="270"/>
      <c r="E1467" s="83"/>
      <c r="F1467" s="200" t="s">
        <v>137</v>
      </c>
      <c r="G1467" s="524">
        <v>423500</v>
      </c>
      <c r="H1467" s="4" t="s">
        <v>903</v>
      </c>
      <c r="I1467" s="435">
        <v>60000</v>
      </c>
      <c r="J1467" s="435">
        <v>60000</v>
      </c>
      <c r="K1467" s="435">
        <v>0</v>
      </c>
      <c r="L1467" s="517"/>
    </row>
    <row r="1468" spans="1:12" ht="13.5">
      <c r="A1468" s="86"/>
      <c r="B1468" s="86"/>
      <c r="C1468" s="214"/>
      <c r="D1468" s="270"/>
      <c r="E1468" s="87"/>
      <c r="F1468" s="200" t="s">
        <v>138</v>
      </c>
      <c r="G1468" s="529" t="s">
        <v>361</v>
      </c>
      <c r="H1468" s="20" t="s">
        <v>800</v>
      </c>
      <c r="I1468" s="434">
        <f>I1469</f>
        <v>30000</v>
      </c>
      <c r="J1468" s="434">
        <f>J1469</f>
        <v>30000</v>
      </c>
      <c r="K1468" s="434">
        <f>K1469</f>
        <v>14400</v>
      </c>
      <c r="L1468" s="517"/>
    </row>
    <row r="1469" spans="1:12" ht="12.75">
      <c r="A1469" s="86"/>
      <c r="B1469" s="86"/>
      <c r="C1469" s="214"/>
      <c r="D1469" s="270"/>
      <c r="E1469" s="87"/>
      <c r="F1469" s="200" t="s">
        <v>139</v>
      </c>
      <c r="G1469" s="524" t="s">
        <v>615</v>
      </c>
      <c r="H1469" s="240" t="s">
        <v>590</v>
      </c>
      <c r="I1469" s="435">
        <v>30000</v>
      </c>
      <c r="J1469" s="435">
        <v>30000</v>
      </c>
      <c r="K1469" s="435">
        <v>14400</v>
      </c>
      <c r="L1469" s="517"/>
    </row>
    <row r="1470" spans="1:12" s="22" customFormat="1" ht="13.5">
      <c r="A1470" s="88"/>
      <c r="B1470" s="88"/>
      <c r="C1470" s="214"/>
      <c r="D1470" s="270"/>
      <c r="E1470" s="89"/>
      <c r="F1470" s="200" t="s">
        <v>140</v>
      </c>
      <c r="G1470" s="528">
        <v>425000</v>
      </c>
      <c r="H1470" s="20" t="s">
        <v>797</v>
      </c>
      <c r="I1470" s="434">
        <f>I1471+I1472</f>
        <v>4230000</v>
      </c>
      <c r="J1470" s="434">
        <f>J1471+J1472</f>
        <v>4030000</v>
      </c>
      <c r="K1470" s="434">
        <f>K1471+K1472</f>
        <v>246024</v>
      </c>
      <c r="L1470" s="517"/>
    </row>
    <row r="1471" spans="1:12" ht="12.75">
      <c r="A1471" s="86"/>
      <c r="B1471" s="86"/>
      <c r="C1471" s="214"/>
      <c r="D1471" s="270"/>
      <c r="E1471" s="87"/>
      <c r="F1471" s="200" t="s">
        <v>141</v>
      </c>
      <c r="G1471" s="524">
        <v>425100</v>
      </c>
      <c r="H1471" s="4" t="s">
        <v>909</v>
      </c>
      <c r="I1471" s="435">
        <v>4000000</v>
      </c>
      <c r="J1471" s="688">
        <v>3800000</v>
      </c>
      <c r="K1471" s="435">
        <v>243246</v>
      </c>
      <c r="L1471" s="517"/>
    </row>
    <row r="1472" spans="1:12" ht="12.75">
      <c r="A1472" s="82"/>
      <c r="B1472" s="82"/>
      <c r="C1472" s="214"/>
      <c r="D1472" s="270"/>
      <c r="E1472" s="83"/>
      <c r="F1472" s="200" t="s">
        <v>142</v>
      </c>
      <c r="G1472" s="524">
        <v>425200</v>
      </c>
      <c r="H1472" s="4" t="s">
        <v>910</v>
      </c>
      <c r="I1472" s="435">
        <v>230000</v>
      </c>
      <c r="J1472" s="435">
        <v>230000</v>
      </c>
      <c r="K1472" s="435">
        <v>2778</v>
      </c>
      <c r="L1472" s="517"/>
    </row>
    <row r="1473" spans="1:12" s="22" customFormat="1" ht="13.5">
      <c r="A1473" s="88"/>
      <c r="B1473" s="88"/>
      <c r="C1473" s="214"/>
      <c r="D1473" s="270"/>
      <c r="E1473" s="89"/>
      <c r="F1473" s="200" t="s">
        <v>143</v>
      </c>
      <c r="G1473" s="528">
        <v>426000</v>
      </c>
      <c r="H1473" s="20" t="s">
        <v>795</v>
      </c>
      <c r="I1473" s="434">
        <f>I1474+I1475+I1476+I1477</f>
        <v>460000</v>
      </c>
      <c r="J1473" s="434">
        <f>J1474+J1475+J1476+J1477</f>
        <v>460000</v>
      </c>
      <c r="K1473" s="434">
        <f>K1474+K1475+K1476+K1477</f>
        <v>273164.16000000003</v>
      </c>
      <c r="L1473" s="517"/>
    </row>
    <row r="1474" spans="1:12" ht="12.75">
      <c r="A1474" s="86"/>
      <c r="B1474" s="86"/>
      <c r="C1474" s="214"/>
      <c r="D1474" s="270"/>
      <c r="E1474" s="87"/>
      <c r="F1474" s="200" t="s">
        <v>144</v>
      </c>
      <c r="G1474" s="524">
        <v>426100</v>
      </c>
      <c r="H1474" s="4" t="s">
        <v>911</v>
      </c>
      <c r="I1474" s="435">
        <v>90000</v>
      </c>
      <c r="J1474" s="435">
        <v>90000</v>
      </c>
      <c r="K1474" s="435">
        <v>54477</v>
      </c>
      <c r="L1474" s="517"/>
    </row>
    <row r="1475" spans="1:12" ht="12.75">
      <c r="A1475" s="82"/>
      <c r="B1475" s="82"/>
      <c r="C1475" s="214"/>
      <c r="D1475" s="270"/>
      <c r="E1475" s="83"/>
      <c r="F1475" s="200" t="s">
        <v>145</v>
      </c>
      <c r="G1475" s="524">
        <v>426300</v>
      </c>
      <c r="H1475" s="5" t="s">
        <v>922</v>
      </c>
      <c r="I1475" s="435">
        <v>60000</v>
      </c>
      <c r="J1475" s="435">
        <v>60000</v>
      </c>
      <c r="K1475" s="435">
        <v>17930</v>
      </c>
      <c r="L1475" s="517"/>
    </row>
    <row r="1476" spans="1:12" ht="12.75">
      <c r="A1476" s="82"/>
      <c r="B1476" s="82"/>
      <c r="C1476" s="214"/>
      <c r="D1476" s="270"/>
      <c r="E1476" s="83"/>
      <c r="F1476" s="200" t="s">
        <v>146</v>
      </c>
      <c r="G1476" s="524">
        <v>426600</v>
      </c>
      <c r="H1476" s="5" t="s">
        <v>923</v>
      </c>
      <c r="I1476" s="435">
        <v>205000</v>
      </c>
      <c r="J1476" s="435">
        <v>205000</v>
      </c>
      <c r="K1476" s="435">
        <v>200757.16</v>
      </c>
      <c r="L1476" s="517"/>
    </row>
    <row r="1477" spans="1:12" ht="12.75">
      <c r="A1477" s="82"/>
      <c r="B1477" s="82"/>
      <c r="C1477" s="214"/>
      <c r="D1477" s="270"/>
      <c r="E1477" s="83"/>
      <c r="F1477" s="200" t="s">
        <v>147</v>
      </c>
      <c r="G1477" s="524">
        <v>426800</v>
      </c>
      <c r="H1477" s="5" t="s">
        <v>913</v>
      </c>
      <c r="I1477" s="435">
        <v>105000</v>
      </c>
      <c r="J1477" s="435">
        <v>105000</v>
      </c>
      <c r="K1477" s="435">
        <v>0</v>
      </c>
      <c r="L1477" s="517"/>
    </row>
    <row r="1478" spans="1:12" ht="13.5">
      <c r="A1478" s="82"/>
      <c r="B1478" s="82"/>
      <c r="C1478" s="214"/>
      <c r="D1478" s="270"/>
      <c r="E1478" s="83"/>
      <c r="F1478" s="200"/>
      <c r="G1478" s="528" t="s">
        <v>521</v>
      </c>
      <c r="H1478" s="41" t="s">
        <v>810</v>
      </c>
      <c r="I1478" s="434">
        <f>I1479</f>
        <v>200000</v>
      </c>
      <c r="J1478" s="434">
        <f>J1479</f>
        <v>400000</v>
      </c>
      <c r="K1478" s="434">
        <f>K1479</f>
        <v>314745.03</v>
      </c>
      <c r="L1478" s="517"/>
    </row>
    <row r="1479" spans="1:12" ht="12.75">
      <c r="A1479" s="82"/>
      <c r="B1479" s="82"/>
      <c r="C1479" s="214"/>
      <c r="D1479" s="270"/>
      <c r="E1479" s="83"/>
      <c r="F1479" s="200"/>
      <c r="G1479" s="524" t="s">
        <v>613</v>
      </c>
      <c r="H1479" s="5" t="s">
        <v>810</v>
      </c>
      <c r="I1479" s="435">
        <v>200000</v>
      </c>
      <c r="J1479" s="688">
        <v>400000</v>
      </c>
      <c r="K1479" s="435">
        <v>314745.03</v>
      </c>
      <c r="L1479" s="517"/>
    </row>
    <row r="1480" spans="1:12" ht="13.5">
      <c r="A1480" s="82"/>
      <c r="B1480" s="82"/>
      <c r="C1480" s="214"/>
      <c r="D1480" s="270"/>
      <c r="E1480" s="83"/>
      <c r="F1480" s="200" t="s">
        <v>148</v>
      </c>
      <c r="G1480" s="529" t="s">
        <v>618</v>
      </c>
      <c r="H1480" s="246" t="s">
        <v>591</v>
      </c>
      <c r="I1480" s="434">
        <f>I1481</f>
        <v>20000</v>
      </c>
      <c r="J1480" s="434">
        <f>J1481</f>
        <v>220000</v>
      </c>
      <c r="K1480" s="434">
        <f>K1481</f>
        <v>153206.97</v>
      </c>
      <c r="L1480" s="517"/>
    </row>
    <row r="1481" spans="1:12" ht="13.5" thickBot="1">
      <c r="A1481" s="82"/>
      <c r="B1481" s="82"/>
      <c r="C1481" s="214"/>
      <c r="D1481" s="270"/>
      <c r="E1481" s="83"/>
      <c r="F1481" s="200" t="s">
        <v>149</v>
      </c>
      <c r="G1481" s="524" t="s">
        <v>614</v>
      </c>
      <c r="H1481" s="240" t="s">
        <v>591</v>
      </c>
      <c r="I1481" s="435">
        <v>20000</v>
      </c>
      <c r="J1481" s="688">
        <v>220000</v>
      </c>
      <c r="K1481" s="435">
        <v>153206.97</v>
      </c>
      <c r="L1481" s="517"/>
    </row>
    <row r="1482" spans="1:12" s="36" customFormat="1" ht="13.5" thickBot="1">
      <c r="A1482" s="82"/>
      <c r="B1482" s="82"/>
      <c r="C1482" s="214"/>
      <c r="D1482" s="270"/>
      <c r="E1482" s="83"/>
      <c r="F1482" s="200"/>
      <c r="G1482" s="524"/>
      <c r="H1482" s="94"/>
      <c r="I1482" s="435"/>
      <c r="J1482" s="435"/>
      <c r="K1482" s="435"/>
      <c r="L1482" s="517"/>
    </row>
    <row r="1483" spans="1:12" s="36" customFormat="1" ht="13.5" thickBot="1">
      <c r="A1483" s="82"/>
      <c r="B1483" s="82"/>
      <c r="C1483" s="214"/>
      <c r="D1483" s="270"/>
      <c r="E1483" s="83"/>
      <c r="F1483" s="200"/>
      <c r="G1483" s="524"/>
      <c r="H1483" s="127" t="s">
        <v>847</v>
      </c>
      <c r="I1483" s="481">
        <f>I1449+I1451+I1453+I1455+I1461+I1463+I1468+I1470+I1473+I1478+I1480</f>
        <v>18980000</v>
      </c>
      <c r="J1483" s="481">
        <f>J1449+J1451+J1453+J1455+J1461+J1463+J1468+J1470+J1473+J1478+J1480</f>
        <v>18980000</v>
      </c>
      <c r="K1483" s="603">
        <f>K1449+K1451+K1453+K1455+K1461+K1463+K1468+K1470+K1473+K1478+K1480</f>
        <v>6389725.970000001</v>
      </c>
      <c r="L1483" s="517"/>
    </row>
    <row r="1484" spans="1:12" s="36" customFormat="1" ht="12.75">
      <c r="A1484" s="86"/>
      <c r="B1484" s="86"/>
      <c r="C1484" s="214"/>
      <c r="D1484" s="270"/>
      <c r="E1484" s="87"/>
      <c r="F1484" s="200"/>
      <c r="G1484" s="35"/>
      <c r="H1484" s="99"/>
      <c r="I1484" s="435"/>
      <c r="J1484" s="435"/>
      <c r="K1484" s="435"/>
      <c r="L1484" s="517"/>
    </row>
    <row r="1485" spans="1:12" ht="12.75">
      <c r="A1485" s="86"/>
      <c r="B1485" s="86"/>
      <c r="C1485" s="214"/>
      <c r="D1485" s="270"/>
      <c r="E1485" s="87"/>
      <c r="F1485" s="200"/>
      <c r="G1485" s="524"/>
      <c r="H1485" s="6"/>
      <c r="I1485" s="435"/>
      <c r="J1485" s="435"/>
      <c r="K1485" s="435"/>
      <c r="L1485" s="517"/>
    </row>
    <row r="1486" spans="1:12" s="22" customFormat="1" ht="12.75" customHeight="1">
      <c r="A1486" s="100"/>
      <c r="B1486" s="100"/>
      <c r="C1486" s="211"/>
      <c r="D1486" s="268" t="s">
        <v>549</v>
      </c>
      <c r="E1486" s="101"/>
      <c r="F1486" s="199"/>
      <c r="G1486" s="543"/>
      <c r="H1486" s="102" t="s">
        <v>548</v>
      </c>
      <c r="I1486" s="468"/>
      <c r="J1486" s="468"/>
      <c r="K1486" s="468"/>
      <c r="L1486" s="517"/>
    </row>
    <row r="1487" spans="1:12" s="22" customFormat="1" ht="17.25" customHeight="1">
      <c r="A1487" s="88"/>
      <c r="B1487" s="88"/>
      <c r="C1487" s="212"/>
      <c r="D1487" s="269" t="s">
        <v>550</v>
      </c>
      <c r="E1487" s="89"/>
      <c r="F1487" s="200"/>
      <c r="G1487" s="527"/>
      <c r="H1487" s="93" t="s">
        <v>551</v>
      </c>
      <c r="I1487" s="432"/>
      <c r="J1487" s="432"/>
      <c r="K1487" s="432"/>
      <c r="L1487" s="517"/>
    </row>
    <row r="1488" spans="1:12" s="22" customFormat="1" ht="12.75">
      <c r="A1488" s="88"/>
      <c r="B1488" s="88"/>
      <c r="C1488" s="214"/>
      <c r="D1488" s="270"/>
      <c r="E1488" s="89"/>
      <c r="F1488" s="200"/>
      <c r="G1488" s="527"/>
      <c r="H1488" s="90" t="s">
        <v>696</v>
      </c>
      <c r="I1488" s="461"/>
      <c r="J1488" s="461"/>
      <c r="K1488" s="461"/>
      <c r="L1488" s="517"/>
    </row>
    <row r="1489" spans="1:12" s="22" customFormat="1" ht="13.5">
      <c r="A1489" s="88"/>
      <c r="B1489" s="88"/>
      <c r="C1489" s="214"/>
      <c r="D1489" s="270"/>
      <c r="E1489" s="89"/>
      <c r="F1489" s="200" t="s">
        <v>150</v>
      </c>
      <c r="G1489" s="535">
        <v>413000</v>
      </c>
      <c r="H1489" s="242" t="s">
        <v>824</v>
      </c>
      <c r="I1489" s="454">
        <f>I1490</f>
        <v>700000</v>
      </c>
      <c r="J1489" s="454">
        <f>J1490</f>
        <v>700000</v>
      </c>
      <c r="K1489" s="454">
        <f>K1490</f>
        <v>300228.6</v>
      </c>
      <c r="L1489" s="517"/>
    </row>
    <row r="1490" spans="1:12" ht="12.75">
      <c r="A1490" s="86"/>
      <c r="B1490" s="86"/>
      <c r="C1490" s="214"/>
      <c r="D1490" s="270"/>
      <c r="E1490" s="87"/>
      <c r="F1490" s="200" t="s">
        <v>151</v>
      </c>
      <c r="G1490" s="536">
        <v>413100</v>
      </c>
      <c r="H1490" s="245" t="s">
        <v>824</v>
      </c>
      <c r="I1490" s="435">
        <v>700000</v>
      </c>
      <c r="J1490" s="435">
        <v>700000</v>
      </c>
      <c r="K1490" s="435">
        <v>300228.6</v>
      </c>
      <c r="L1490" s="517"/>
    </row>
    <row r="1491" spans="1:12" s="22" customFormat="1" ht="13.5">
      <c r="A1491" s="88"/>
      <c r="B1491" s="88"/>
      <c r="C1491" s="214"/>
      <c r="D1491" s="270"/>
      <c r="E1491" s="89"/>
      <c r="F1491" s="200" t="s">
        <v>152</v>
      </c>
      <c r="G1491" s="535">
        <v>415000</v>
      </c>
      <c r="H1491" s="242" t="s">
        <v>852</v>
      </c>
      <c r="I1491" s="454">
        <f>I1492</f>
        <v>2600000</v>
      </c>
      <c r="J1491" s="454">
        <f>J1492</f>
        <v>2600000</v>
      </c>
      <c r="K1491" s="454">
        <f>K1492</f>
        <v>947713</v>
      </c>
      <c r="L1491" s="517"/>
    </row>
    <row r="1492" spans="1:12" ht="12.75">
      <c r="A1492" s="86"/>
      <c r="B1492" s="86"/>
      <c r="C1492" s="214"/>
      <c r="D1492" s="270"/>
      <c r="E1492" s="87"/>
      <c r="F1492" s="200" t="s">
        <v>153</v>
      </c>
      <c r="G1492" s="536">
        <v>415100</v>
      </c>
      <c r="H1492" s="245" t="s">
        <v>852</v>
      </c>
      <c r="I1492" s="435">
        <v>2600000</v>
      </c>
      <c r="J1492" s="435">
        <v>2600000</v>
      </c>
      <c r="K1492" s="435">
        <v>947713</v>
      </c>
      <c r="L1492" s="517"/>
    </row>
    <row r="1493" spans="1:12" s="22" customFormat="1" ht="13.5">
      <c r="A1493" s="88"/>
      <c r="B1493" s="88"/>
      <c r="C1493" s="214"/>
      <c r="D1493" s="270"/>
      <c r="E1493" s="89"/>
      <c r="F1493" s="200" t="s">
        <v>154</v>
      </c>
      <c r="G1493" s="54">
        <v>416000</v>
      </c>
      <c r="H1493" s="20" t="s">
        <v>853</v>
      </c>
      <c r="I1493" s="434">
        <f>I1494</f>
        <v>960000</v>
      </c>
      <c r="J1493" s="434">
        <f>J1494</f>
        <v>960000</v>
      </c>
      <c r="K1493" s="434">
        <f>K1494</f>
        <v>303098.22</v>
      </c>
      <c r="L1493" s="517"/>
    </row>
    <row r="1494" spans="1:12" ht="12.75">
      <c r="A1494" s="86"/>
      <c r="B1494" s="86"/>
      <c r="C1494" s="214"/>
      <c r="D1494" s="270"/>
      <c r="E1494" s="87"/>
      <c r="F1494" s="200" t="s">
        <v>155</v>
      </c>
      <c r="G1494" s="35">
        <v>416100</v>
      </c>
      <c r="H1494" s="4" t="s">
        <v>853</v>
      </c>
      <c r="I1494" s="435">
        <v>960000</v>
      </c>
      <c r="J1494" s="435">
        <v>960000</v>
      </c>
      <c r="K1494" s="435">
        <v>303098.22</v>
      </c>
      <c r="L1494" s="517"/>
    </row>
    <row r="1495" spans="1:12" s="22" customFormat="1" ht="13.5">
      <c r="A1495" s="88"/>
      <c r="B1495" s="88"/>
      <c r="C1495" s="214"/>
      <c r="D1495" s="270"/>
      <c r="E1495" s="89"/>
      <c r="F1495" s="200" t="s">
        <v>156</v>
      </c>
      <c r="G1495" s="54">
        <v>421000</v>
      </c>
      <c r="H1495" s="20" t="s">
        <v>799</v>
      </c>
      <c r="I1495" s="434">
        <f>I1496+I1497+I1498+I1499+I1500</f>
        <v>5150000</v>
      </c>
      <c r="J1495" s="434">
        <f>J1496+J1497+J1498+J1499+J1500</f>
        <v>5150000</v>
      </c>
      <c r="K1495" s="434">
        <f>K1496+K1497+K1498+K1499+K1500</f>
        <v>1679656.98</v>
      </c>
      <c r="L1495" s="517"/>
    </row>
    <row r="1496" spans="1:12" ht="12.75">
      <c r="A1496" s="86"/>
      <c r="B1496" s="86"/>
      <c r="C1496" s="214"/>
      <c r="D1496" s="270"/>
      <c r="E1496" s="87"/>
      <c r="F1496" s="200" t="s">
        <v>157</v>
      </c>
      <c r="G1496" s="35">
        <v>421100</v>
      </c>
      <c r="H1496" s="4" t="s">
        <v>894</v>
      </c>
      <c r="I1496" s="435">
        <v>180000</v>
      </c>
      <c r="J1496" s="435">
        <v>180000</v>
      </c>
      <c r="K1496" s="435">
        <v>67913.02</v>
      </c>
      <c r="L1496" s="517"/>
    </row>
    <row r="1497" spans="1:12" ht="12.75">
      <c r="A1497" s="82"/>
      <c r="B1497" s="82"/>
      <c r="C1497" s="214"/>
      <c r="D1497" s="270"/>
      <c r="E1497" s="83"/>
      <c r="F1497" s="200" t="s">
        <v>158</v>
      </c>
      <c r="G1497" s="35">
        <v>421200</v>
      </c>
      <c r="H1497" s="4" t="s">
        <v>920</v>
      </c>
      <c r="I1497" s="435">
        <v>4000000</v>
      </c>
      <c r="J1497" s="435">
        <v>4000000</v>
      </c>
      <c r="K1497" s="435">
        <v>1030473.18</v>
      </c>
      <c r="L1497" s="517"/>
    </row>
    <row r="1498" spans="1:12" ht="12.75">
      <c r="A1498" s="82"/>
      <c r="B1498" s="82"/>
      <c r="C1498" s="214"/>
      <c r="D1498" s="270"/>
      <c r="E1498" s="83"/>
      <c r="F1498" s="200" t="s">
        <v>159</v>
      </c>
      <c r="G1498" s="524">
        <v>421300</v>
      </c>
      <c r="H1498" s="5" t="s">
        <v>896</v>
      </c>
      <c r="I1498" s="435">
        <v>800000</v>
      </c>
      <c r="J1498" s="435">
        <v>800000</v>
      </c>
      <c r="K1498" s="435">
        <v>498461.52</v>
      </c>
      <c r="L1498" s="517"/>
    </row>
    <row r="1499" spans="1:12" ht="12.75">
      <c r="A1499" s="82"/>
      <c r="B1499" s="82"/>
      <c r="C1499" s="214"/>
      <c r="D1499" s="270"/>
      <c r="E1499" s="83"/>
      <c r="F1499" s="200" t="s">
        <v>160</v>
      </c>
      <c r="G1499" s="35">
        <v>421400</v>
      </c>
      <c r="H1499" s="5" t="s">
        <v>883</v>
      </c>
      <c r="I1499" s="435">
        <v>50000</v>
      </c>
      <c r="J1499" s="435">
        <v>50000</v>
      </c>
      <c r="K1499" s="435">
        <v>16800</v>
      </c>
      <c r="L1499" s="517"/>
    </row>
    <row r="1500" spans="1:12" ht="12.75">
      <c r="A1500" s="82"/>
      <c r="B1500" s="82"/>
      <c r="C1500" s="214"/>
      <c r="D1500" s="270"/>
      <c r="E1500" s="83"/>
      <c r="F1500" s="200" t="s">
        <v>161</v>
      </c>
      <c r="G1500" s="35">
        <v>421500</v>
      </c>
      <c r="H1500" s="4" t="s">
        <v>897</v>
      </c>
      <c r="I1500" s="435">
        <v>120000</v>
      </c>
      <c r="J1500" s="435">
        <v>120000</v>
      </c>
      <c r="K1500" s="435">
        <v>66009.26</v>
      </c>
      <c r="L1500" s="517"/>
    </row>
    <row r="1501" spans="1:12" s="22" customFormat="1" ht="13.5">
      <c r="A1501" s="88"/>
      <c r="B1501" s="88"/>
      <c r="C1501" s="214"/>
      <c r="D1501" s="270"/>
      <c r="E1501" s="89"/>
      <c r="F1501" s="200" t="s">
        <v>162</v>
      </c>
      <c r="G1501" s="54">
        <v>422000</v>
      </c>
      <c r="H1501" s="20" t="s">
        <v>793</v>
      </c>
      <c r="I1501" s="434">
        <f>I1502+I1503</f>
        <v>60000</v>
      </c>
      <c r="J1501" s="434">
        <f>J1502+J1503</f>
        <v>60000</v>
      </c>
      <c r="K1501" s="434">
        <f>K1502+K1503</f>
        <v>0</v>
      </c>
      <c r="L1501" s="517"/>
    </row>
    <row r="1502" spans="1:12" ht="12.75">
      <c r="A1502" s="86"/>
      <c r="B1502" s="86"/>
      <c r="C1502" s="214"/>
      <c r="D1502" s="270"/>
      <c r="E1502" s="87"/>
      <c r="F1502" s="200" t="s">
        <v>163</v>
      </c>
      <c r="G1502" s="35">
        <v>422100</v>
      </c>
      <c r="H1502" s="4" t="s">
        <v>899</v>
      </c>
      <c r="I1502" s="435">
        <v>10000</v>
      </c>
      <c r="J1502" s="435">
        <v>10000</v>
      </c>
      <c r="K1502" s="435">
        <v>0</v>
      </c>
      <c r="L1502" s="517"/>
    </row>
    <row r="1503" spans="1:12" ht="12.75">
      <c r="A1503" s="82"/>
      <c r="B1503" s="82"/>
      <c r="C1503" s="214"/>
      <c r="D1503" s="270"/>
      <c r="E1503" s="83"/>
      <c r="F1503" s="200" t="s">
        <v>164</v>
      </c>
      <c r="G1503" s="35">
        <v>422400</v>
      </c>
      <c r="H1503" s="4" t="s">
        <v>921</v>
      </c>
      <c r="I1503" s="435">
        <v>50000</v>
      </c>
      <c r="J1503" s="435">
        <v>50000</v>
      </c>
      <c r="K1503" s="435">
        <v>0</v>
      </c>
      <c r="L1503" s="517"/>
    </row>
    <row r="1504" spans="1:12" s="22" customFormat="1" ht="13.5">
      <c r="A1504" s="88"/>
      <c r="B1504" s="88"/>
      <c r="C1504" s="214"/>
      <c r="D1504" s="270"/>
      <c r="E1504" s="89"/>
      <c r="F1504" s="200" t="s">
        <v>165</v>
      </c>
      <c r="G1504" s="54">
        <v>423000</v>
      </c>
      <c r="H1504" s="20" t="s">
        <v>794</v>
      </c>
      <c r="I1504" s="434">
        <f>I1505</f>
        <v>80000</v>
      </c>
      <c r="J1504" s="434">
        <f>J1505</f>
        <v>80000</v>
      </c>
      <c r="K1504" s="434">
        <f>K1505</f>
        <v>80000</v>
      </c>
      <c r="L1504" s="517"/>
    </row>
    <row r="1505" spans="1:12" ht="12.75">
      <c r="A1505" s="86"/>
      <c r="B1505" s="86"/>
      <c r="C1505" s="214"/>
      <c r="D1505" s="270"/>
      <c r="E1505" s="87"/>
      <c r="F1505" s="200" t="s">
        <v>166</v>
      </c>
      <c r="G1505" s="524">
        <v>423300</v>
      </c>
      <c r="H1505" s="5" t="s">
        <v>902</v>
      </c>
      <c r="I1505" s="435">
        <v>80000</v>
      </c>
      <c r="J1505" s="435">
        <v>80000</v>
      </c>
      <c r="K1505" s="435">
        <v>80000</v>
      </c>
      <c r="L1505" s="517"/>
    </row>
    <row r="1506" spans="1:12" ht="13.5">
      <c r="A1506" s="82"/>
      <c r="B1506" s="82"/>
      <c r="C1506" s="214"/>
      <c r="D1506" s="270"/>
      <c r="E1506" s="83"/>
      <c r="F1506" s="200" t="s">
        <v>167</v>
      </c>
      <c r="G1506" s="529" t="s">
        <v>361</v>
      </c>
      <c r="H1506" s="20" t="s">
        <v>800</v>
      </c>
      <c r="I1506" s="434">
        <f>I1507</f>
        <v>30000</v>
      </c>
      <c r="J1506" s="434">
        <f>J1507</f>
        <v>30000</v>
      </c>
      <c r="K1506" s="434">
        <f>K1507</f>
        <v>10200</v>
      </c>
      <c r="L1506" s="517"/>
    </row>
    <row r="1507" spans="1:12" ht="12.75">
      <c r="A1507" s="82"/>
      <c r="B1507" s="82"/>
      <c r="C1507" s="214"/>
      <c r="D1507" s="270"/>
      <c r="E1507" s="83"/>
      <c r="F1507" s="200" t="s">
        <v>168</v>
      </c>
      <c r="G1507" s="524" t="s">
        <v>362</v>
      </c>
      <c r="H1507" s="4" t="s">
        <v>235</v>
      </c>
      <c r="I1507" s="435">
        <v>30000</v>
      </c>
      <c r="J1507" s="435">
        <v>30000</v>
      </c>
      <c r="K1507" s="435">
        <v>10200</v>
      </c>
      <c r="L1507" s="517"/>
    </row>
    <row r="1508" spans="1:12" ht="13.5">
      <c r="A1508" s="86"/>
      <c r="B1508" s="86"/>
      <c r="C1508" s="214"/>
      <c r="D1508" s="270"/>
      <c r="E1508" s="87"/>
      <c r="F1508" s="200" t="s">
        <v>169</v>
      </c>
      <c r="G1508" s="528" t="s">
        <v>361</v>
      </c>
      <c r="H1508" s="20" t="s">
        <v>800</v>
      </c>
      <c r="I1508" s="434">
        <f>I1509</f>
        <v>30000</v>
      </c>
      <c r="J1508" s="434">
        <f>J1509</f>
        <v>30000</v>
      </c>
      <c r="K1508" s="434">
        <f>K1509</f>
        <v>14400</v>
      </c>
      <c r="L1508" s="517"/>
    </row>
    <row r="1509" spans="1:12" ht="12.75">
      <c r="A1509" s="86"/>
      <c r="B1509" s="86"/>
      <c r="C1509" s="214"/>
      <c r="D1509" s="270"/>
      <c r="E1509" s="87"/>
      <c r="F1509" s="200" t="s">
        <v>170</v>
      </c>
      <c r="G1509" s="524" t="s">
        <v>615</v>
      </c>
      <c r="H1509" s="240" t="s">
        <v>590</v>
      </c>
      <c r="I1509" s="435">
        <v>30000</v>
      </c>
      <c r="J1509" s="435">
        <v>30000</v>
      </c>
      <c r="K1509" s="435">
        <v>14400</v>
      </c>
      <c r="L1509" s="517"/>
    </row>
    <row r="1510" spans="1:12" s="22" customFormat="1" ht="13.5">
      <c r="A1510" s="88"/>
      <c r="B1510" s="88"/>
      <c r="C1510" s="214"/>
      <c r="D1510" s="270"/>
      <c r="E1510" s="89"/>
      <c r="F1510" s="200" t="s">
        <v>171</v>
      </c>
      <c r="G1510" s="528">
        <v>425000</v>
      </c>
      <c r="H1510" s="20" t="s">
        <v>797</v>
      </c>
      <c r="I1510" s="434">
        <f>I1511+I1512</f>
        <v>3550000</v>
      </c>
      <c r="J1510" s="434">
        <f>J1511+J1512</f>
        <v>3550000</v>
      </c>
      <c r="K1510" s="434">
        <f>K1511+K1512</f>
        <v>2671377.7</v>
      </c>
      <c r="L1510" s="517"/>
    </row>
    <row r="1511" spans="1:12" ht="12.75">
      <c r="A1511" s="86"/>
      <c r="B1511" s="86"/>
      <c r="C1511" s="214"/>
      <c r="D1511" s="270"/>
      <c r="E1511" s="87"/>
      <c r="F1511" s="200" t="s">
        <v>172</v>
      </c>
      <c r="G1511" s="524">
        <v>425100</v>
      </c>
      <c r="H1511" s="4" t="s">
        <v>909</v>
      </c>
      <c r="I1511" s="435">
        <v>2800000</v>
      </c>
      <c r="J1511" s="435">
        <v>2800000</v>
      </c>
      <c r="K1511" s="435">
        <v>2072985.7</v>
      </c>
      <c r="L1511" s="517"/>
    </row>
    <row r="1512" spans="1:12" ht="12.75">
      <c r="A1512" s="82"/>
      <c r="B1512" s="82"/>
      <c r="C1512" s="214"/>
      <c r="D1512" s="270"/>
      <c r="E1512" s="83"/>
      <c r="F1512" s="200" t="s">
        <v>173</v>
      </c>
      <c r="G1512" s="524">
        <v>425200</v>
      </c>
      <c r="H1512" s="4" t="s">
        <v>910</v>
      </c>
      <c r="I1512" s="435">
        <v>750000</v>
      </c>
      <c r="J1512" s="435">
        <v>750000</v>
      </c>
      <c r="K1512" s="435">
        <v>598392</v>
      </c>
      <c r="L1512" s="517"/>
    </row>
    <row r="1513" spans="1:12" s="22" customFormat="1" ht="13.5">
      <c r="A1513" s="88"/>
      <c r="B1513" s="88"/>
      <c r="C1513" s="214"/>
      <c r="D1513" s="270"/>
      <c r="E1513" s="89"/>
      <c r="F1513" s="200" t="s">
        <v>174</v>
      </c>
      <c r="G1513" s="528">
        <v>426000</v>
      </c>
      <c r="H1513" s="20" t="s">
        <v>795</v>
      </c>
      <c r="I1513" s="434">
        <f>I1514+I1515+I1516+I1517</f>
        <v>460000</v>
      </c>
      <c r="J1513" s="434">
        <f>J1514+J1515+J1516+J1517</f>
        <v>460000</v>
      </c>
      <c r="K1513" s="434">
        <f>K1514+K1515+K1516+K1517</f>
        <v>186838.4</v>
      </c>
      <c r="L1513" s="517"/>
    </row>
    <row r="1514" spans="1:12" ht="12.75">
      <c r="A1514" s="86"/>
      <c r="B1514" s="86"/>
      <c r="C1514" s="214"/>
      <c r="D1514" s="270"/>
      <c r="E1514" s="87"/>
      <c r="F1514" s="200" t="s">
        <v>175</v>
      </c>
      <c r="G1514" s="524">
        <v>426100</v>
      </c>
      <c r="H1514" s="4" t="s">
        <v>911</v>
      </c>
      <c r="I1514" s="435">
        <v>60000</v>
      </c>
      <c r="J1514" s="435">
        <v>60000</v>
      </c>
      <c r="K1514" s="435">
        <v>59080</v>
      </c>
      <c r="L1514" s="517"/>
    </row>
    <row r="1515" spans="1:12" ht="12.75">
      <c r="A1515" s="82"/>
      <c r="B1515" s="82"/>
      <c r="C1515" s="214"/>
      <c r="D1515" s="270"/>
      <c r="E1515" s="83"/>
      <c r="F1515" s="200" t="s">
        <v>176</v>
      </c>
      <c r="G1515" s="524">
        <v>426300</v>
      </c>
      <c r="H1515" s="5" t="s">
        <v>922</v>
      </c>
      <c r="I1515" s="435">
        <v>50000</v>
      </c>
      <c r="J1515" s="435">
        <v>50000</v>
      </c>
      <c r="K1515" s="435">
        <v>0</v>
      </c>
      <c r="L1515" s="517"/>
    </row>
    <row r="1516" spans="1:12" ht="12.75">
      <c r="A1516" s="82"/>
      <c r="B1516" s="82"/>
      <c r="C1516" s="214"/>
      <c r="D1516" s="270"/>
      <c r="E1516" s="83"/>
      <c r="F1516" s="200" t="s">
        <v>177</v>
      </c>
      <c r="G1516" s="524">
        <v>426600</v>
      </c>
      <c r="H1516" s="5" t="s">
        <v>923</v>
      </c>
      <c r="I1516" s="435">
        <v>270000</v>
      </c>
      <c r="J1516" s="435">
        <v>270000</v>
      </c>
      <c r="K1516" s="435">
        <v>82757.9</v>
      </c>
      <c r="L1516" s="517"/>
    </row>
    <row r="1517" spans="1:12" ht="12.75">
      <c r="A1517" s="82"/>
      <c r="B1517" s="82"/>
      <c r="C1517" s="214"/>
      <c r="D1517" s="270"/>
      <c r="E1517" s="83"/>
      <c r="F1517" s="200" t="s">
        <v>178</v>
      </c>
      <c r="G1517" s="524">
        <v>426800</v>
      </c>
      <c r="H1517" s="5" t="s">
        <v>913</v>
      </c>
      <c r="I1517" s="435">
        <v>80000</v>
      </c>
      <c r="J1517" s="435">
        <v>80000</v>
      </c>
      <c r="K1517" s="435">
        <v>45000.5</v>
      </c>
      <c r="L1517" s="517"/>
    </row>
    <row r="1518" spans="1:12" ht="13.5">
      <c r="A1518" s="82"/>
      <c r="B1518" s="82"/>
      <c r="C1518" s="214"/>
      <c r="D1518" s="270"/>
      <c r="E1518" s="83"/>
      <c r="F1518" s="200"/>
      <c r="G1518" s="528" t="s">
        <v>521</v>
      </c>
      <c r="H1518" s="41" t="s">
        <v>810</v>
      </c>
      <c r="I1518" s="434">
        <f>I1519</f>
        <v>250000</v>
      </c>
      <c r="J1518" s="434">
        <f>J1519</f>
        <v>250000</v>
      </c>
      <c r="K1518" s="434">
        <f>K1519</f>
        <v>30000</v>
      </c>
      <c r="L1518" s="517"/>
    </row>
    <row r="1519" spans="1:12" ht="12.75">
      <c r="A1519" s="82"/>
      <c r="B1519" s="82"/>
      <c r="C1519" s="214"/>
      <c r="D1519" s="270"/>
      <c r="E1519" s="83"/>
      <c r="F1519" s="200"/>
      <c r="G1519" s="524" t="s">
        <v>613</v>
      </c>
      <c r="H1519" s="5" t="s">
        <v>810</v>
      </c>
      <c r="I1519" s="435">
        <v>250000</v>
      </c>
      <c r="J1519" s="435">
        <v>250000</v>
      </c>
      <c r="K1519" s="435">
        <v>30000</v>
      </c>
      <c r="L1519" s="517"/>
    </row>
    <row r="1520" spans="1:12" ht="13.5" thickBot="1">
      <c r="A1520" s="82"/>
      <c r="B1520" s="82"/>
      <c r="C1520" s="214"/>
      <c r="D1520" s="270"/>
      <c r="E1520" s="83"/>
      <c r="F1520" s="200"/>
      <c r="G1520" s="524"/>
      <c r="H1520" s="727"/>
      <c r="I1520" s="435"/>
      <c r="J1520" s="435"/>
      <c r="K1520" s="435"/>
      <c r="L1520" s="517"/>
    </row>
    <row r="1521" spans="1:12" s="36" customFormat="1" ht="13.5" thickBot="1">
      <c r="A1521" s="82"/>
      <c r="B1521" s="82"/>
      <c r="C1521" s="214"/>
      <c r="D1521" s="270"/>
      <c r="E1521" s="83"/>
      <c r="F1521" s="200"/>
      <c r="G1521" s="524"/>
      <c r="H1521" s="127" t="s">
        <v>848</v>
      </c>
      <c r="I1521" s="481">
        <f>I1489+I1491+I1493+I1495+I1501+I1504+I1506+I1508+I1510+I1513+I1518</f>
        <v>13870000</v>
      </c>
      <c r="J1521" s="481">
        <f>J1489+J1491+J1493+J1495+J1501+J1504+J1506+J1508+J1510+J1513+J1518</f>
        <v>13870000</v>
      </c>
      <c r="K1521" s="603">
        <f>K1489+K1491+K1493+K1495+K1501+K1504+K1506+K1508+K1510+K1513+K1518</f>
        <v>6223512.9</v>
      </c>
      <c r="L1521" s="517"/>
    </row>
    <row r="1522" spans="1:12" s="36" customFormat="1" ht="13.5" thickBot="1">
      <c r="A1522" s="731"/>
      <c r="B1522" s="732"/>
      <c r="C1522" s="733"/>
      <c r="D1522" s="734"/>
      <c r="E1522" s="735"/>
      <c r="F1522" s="736"/>
      <c r="G1522" s="737"/>
      <c r="H1522" s="738"/>
      <c r="I1522" s="739"/>
      <c r="J1522" s="739"/>
      <c r="K1522" s="740"/>
      <c r="L1522" s="517"/>
    </row>
    <row r="1523" spans="1:12" s="22" customFormat="1" ht="14.25" thickBot="1">
      <c r="A1523" s="713"/>
      <c r="B1523" s="714"/>
      <c r="C1523" s="715"/>
      <c r="D1523" s="716"/>
      <c r="E1523" s="717"/>
      <c r="F1523" s="718"/>
      <c r="G1523" s="719"/>
      <c r="H1523" s="720" t="s">
        <v>849</v>
      </c>
      <c r="I1523" s="721">
        <f>I1409+I1443+I1483+I1521</f>
        <v>58302000</v>
      </c>
      <c r="J1523" s="721">
        <f>J1409+J1443+J1483+J1521</f>
        <v>58302000</v>
      </c>
      <c r="K1523" s="722">
        <f>K1409+K1443+K1483+K1521</f>
        <v>22538871.82</v>
      </c>
      <c r="L1523" s="517"/>
    </row>
    <row r="1524" spans="1:11" ht="12.75">
      <c r="A1524" s="36"/>
      <c r="B1524" s="36"/>
      <c r="C1524" s="260"/>
      <c r="D1524" s="281"/>
      <c r="E1524" s="169"/>
      <c r="F1524" s="261"/>
      <c r="G1524" s="549"/>
      <c r="H1524" s="36"/>
      <c r="I1524" s="512"/>
      <c r="J1524" s="36"/>
      <c r="K1524" s="36"/>
    </row>
    <row r="1525" spans="1:11" ht="12.75">
      <c r="A1525" s="36"/>
      <c r="B1525" s="36"/>
      <c r="C1525" s="260"/>
      <c r="D1525" s="281"/>
      <c r="E1525" s="169"/>
      <c r="F1525" s="261"/>
      <c r="G1525" s="549"/>
      <c r="H1525" s="36"/>
      <c r="I1525" s="512"/>
      <c r="J1525" s="36"/>
      <c r="K1525" s="36"/>
    </row>
    <row r="1526" spans="1:11" ht="12.75">
      <c r="A1526" s="36"/>
      <c r="B1526" s="36"/>
      <c r="C1526" s="260"/>
      <c r="D1526" s="281"/>
      <c r="E1526" s="169"/>
      <c r="F1526" s="261"/>
      <c r="G1526" s="549"/>
      <c r="H1526" s="36"/>
      <c r="I1526" s="512"/>
      <c r="J1526" s="36"/>
      <c r="K1526" s="36"/>
    </row>
    <row r="1527" spans="1:11" ht="12.75">
      <c r="A1527" s="36"/>
      <c r="B1527" s="36"/>
      <c r="C1527" s="260"/>
      <c r="D1527" s="281"/>
      <c r="E1527" s="169"/>
      <c r="F1527" s="261"/>
      <c r="G1527" s="549"/>
      <c r="H1527" s="36"/>
      <c r="I1527" s="512"/>
      <c r="J1527" s="36"/>
      <c r="K1527" s="36"/>
    </row>
    <row r="1528" spans="1:11" ht="12.75">
      <c r="A1528" s="36"/>
      <c r="B1528" s="36"/>
      <c r="C1528" s="260"/>
      <c r="D1528" s="281"/>
      <c r="E1528" s="169"/>
      <c r="F1528" s="261"/>
      <c r="G1528" s="549"/>
      <c r="H1528" s="36"/>
      <c r="I1528" s="512"/>
      <c r="J1528" s="36"/>
      <c r="K1528" s="36"/>
    </row>
    <row r="1529" spans="1:11" ht="12.75">
      <c r="A1529" s="36"/>
      <c r="B1529" s="36"/>
      <c r="C1529" s="260"/>
      <c r="D1529" s="281"/>
      <c r="E1529" s="169"/>
      <c r="F1529" s="261"/>
      <c r="G1529" s="549"/>
      <c r="H1529" s="36"/>
      <c r="I1529" s="512"/>
      <c r="J1529" s="36"/>
      <c r="K1529" s="36"/>
    </row>
    <row r="1530" spans="1:11" ht="12.75">
      <c r="A1530" s="36"/>
      <c r="B1530" s="36"/>
      <c r="C1530" s="260"/>
      <c r="D1530" s="281"/>
      <c r="E1530" s="169"/>
      <c r="F1530" s="261"/>
      <c r="G1530" s="549"/>
      <c r="H1530" s="36"/>
      <c r="I1530" s="512"/>
      <c r="J1530" s="36"/>
      <c r="K1530" s="36"/>
    </row>
    <row r="1531" spans="1:11" ht="12.75">
      <c r="A1531" s="36"/>
      <c r="B1531" s="36"/>
      <c r="C1531" s="260"/>
      <c r="D1531" s="281"/>
      <c r="E1531" s="169"/>
      <c r="F1531" s="261"/>
      <c r="G1531" s="549"/>
      <c r="H1531" s="36"/>
      <c r="I1531" s="512"/>
      <c r="J1531" s="36"/>
      <c r="K1531" s="36"/>
    </row>
    <row r="1532" spans="1:11" ht="12.75">
      <c r="A1532" s="36"/>
      <c r="B1532" s="36"/>
      <c r="C1532" s="260"/>
      <c r="D1532" s="281"/>
      <c r="E1532" s="169"/>
      <c r="F1532" s="261"/>
      <c r="G1532" s="549"/>
      <c r="H1532" s="36"/>
      <c r="I1532" s="512"/>
      <c r="J1532" s="36"/>
      <c r="K1532" s="36"/>
    </row>
    <row r="1533" spans="1:11" ht="12.75">
      <c r="A1533" s="36"/>
      <c r="B1533" s="36"/>
      <c r="C1533" s="260"/>
      <c r="D1533" s="281"/>
      <c r="E1533" s="169"/>
      <c r="F1533" s="261"/>
      <c r="G1533" s="549"/>
      <c r="H1533" s="36"/>
      <c r="I1533" s="512"/>
      <c r="J1533" s="36"/>
      <c r="K1533" s="36"/>
    </row>
    <row r="1534" spans="1:11" ht="12.75">
      <c r="A1534" s="36"/>
      <c r="B1534" s="36"/>
      <c r="C1534" s="260"/>
      <c r="D1534" s="281"/>
      <c r="E1534" s="169"/>
      <c r="F1534" s="261"/>
      <c r="G1534" s="549"/>
      <c r="H1534" s="36"/>
      <c r="I1534" s="512"/>
      <c r="J1534" s="36"/>
      <c r="K1534" s="36"/>
    </row>
    <row r="1535" spans="1:11" ht="12.75">
      <c r="A1535" s="36"/>
      <c r="B1535" s="36"/>
      <c r="C1535" s="260"/>
      <c r="D1535" s="281"/>
      <c r="E1535" s="169"/>
      <c r="F1535" s="261"/>
      <c r="G1535" s="549"/>
      <c r="H1535" s="36"/>
      <c r="I1535" s="512"/>
      <c r="J1535" s="36"/>
      <c r="K1535" s="36"/>
    </row>
    <row r="1536" spans="1:11" ht="12.75">
      <c r="A1536" s="36"/>
      <c r="B1536" s="36"/>
      <c r="C1536" s="260"/>
      <c r="D1536" s="281"/>
      <c r="E1536" s="169"/>
      <c r="F1536" s="261"/>
      <c r="G1536" s="549"/>
      <c r="H1536" s="36"/>
      <c r="I1536" s="512"/>
      <c r="J1536" s="36"/>
      <c r="K1536" s="36"/>
    </row>
    <row r="1537" spans="1:11" ht="12.75">
      <c r="A1537" s="36"/>
      <c r="B1537" s="36"/>
      <c r="C1537" s="260"/>
      <c r="D1537" s="281"/>
      <c r="E1537" s="169"/>
      <c r="F1537" s="261"/>
      <c r="G1537" s="549"/>
      <c r="H1537" s="36"/>
      <c r="I1537" s="512"/>
      <c r="J1537" s="36"/>
      <c r="K1537" s="36"/>
    </row>
    <row r="1538" spans="1:11" ht="12.75">
      <c r="A1538" s="36"/>
      <c r="B1538" s="36"/>
      <c r="C1538" s="260"/>
      <c r="D1538" s="281"/>
      <c r="E1538" s="169"/>
      <c r="F1538" s="261"/>
      <c r="G1538" s="549"/>
      <c r="H1538" s="36"/>
      <c r="I1538" s="512"/>
      <c r="J1538" s="36"/>
      <c r="K1538" s="36"/>
    </row>
    <row r="1539" spans="1:11" ht="12.75">
      <c r="A1539" s="36"/>
      <c r="B1539" s="36"/>
      <c r="C1539" s="260"/>
      <c r="D1539" s="281"/>
      <c r="E1539" s="169"/>
      <c r="F1539" s="261"/>
      <c r="G1539" s="549"/>
      <c r="H1539" s="36"/>
      <c r="I1539" s="512"/>
      <c r="J1539" s="36"/>
      <c r="K1539" s="36"/>
    </row>
    <row r="1540" spans="1:11" ht="12.75">
      <c r="A1540" s="36"/>
      <c r="B1540" s="36"/>
      <c r="C1540" s="260"/>
      <c r="D1540" s="281"/>
      <c r="E1540" s="169"/>
      <c r="F1540" s="261"/>
      <c r="G1540" s="549"/>
      <c r="H1540" s="36"/>
      <c r="I1540" s="512"/>
      <c r="J1540" s="36"/>
      <c r="K1540" s="36"/>
    </row>
    <row r="1552" spans="8:11" ht="12.75">
      <c r="H1552" s="56"/>
      <c r="I1552" s="513"/>
      <c r="J1552" s="56"/>
      <c r="K1552" s="56"/>
    </row>
    <row r="1553" spans="8:11" ht="12.75">
      <c r="H1553" s="56"/>
      <c r="I1553" s="513"/>
      <c r="J1553" s="56"/>
      <c r="K1553" s="56"/>
    </row>
    <row r="1554" spans="8:11" ht="12.75">
      <c r="H1554" s="56"/>
      <c r="I1554" s="513"/>
      <c r="J1554" s="56"/>
      <c r="K1554" s="56"/>
    </row>
    <row r="1555" spans="8:11" ht="12.75">
      <c r="H1555" s="56"/>
      <c r="I1555" s="513"/>
      <c r="J1555" s="56"/>
      <c r="K1555" s="56"/>
    </row>
    <row r="1556" spans="8:11" ht="12.75">
      <c r="H1556" s="56"/>
      <c r="I1556" s="513"/>
      <c r="J1556" s="56"/>
      <c r="K1556" s="56"/>
    </row>
    <row r="1557" spans="8:11" ht="12.75">
      <c r="H1557" s="56"/>
      <c r="I1557" s="513"/>
      <c r="J1557" s="56"/>
      <c r="K1557" s="56"/>
    </row>
    <row r="1558" spans="8:11" ht="12.75">
      <c r="H1558" s="56"/>
      <c r="I1558" s="513"/>
      <c r="J1558" s="56"/>
      <c r="K1558" s="56"/>
    </row>
    <row r="1559" spans="8:11" ht="13.5" thickBot="1">
      <c r="H1559" s="488"/>
      <c r="I1559" s="489"/>
      <c r="J1559" s="489"/>
      <c r="K1559" s="490"/>
    </row>
    <row r="1560" spans="8:12" ht="15.75" thickBot="1">
      <c r="H1560" s="491">
        <v>411</v>
      </c>
      <c r="I1560" s="712">
        <f>SUMIF($G$5:$G$1020,411000,$I$5:$I$1020)</f>
        <v>302827940</v>
      </c>
      <c r="J1560" s="843">
        <f>SUMIF($G$5:$G$1020,411000,$J$5:$J$1020)</f>
        <v>297377940</v>
      </c>
      <c r="K1560" s="712">
        <f>SUMIF($G$5:G1016,"411000",$K$5:K1016)</f>
        <v>146597777.15999997</v>
      </c>
      <c r="L1560" s="520"/>
    </row>
    <row r="1561" spans="8:12" ht="15" thickBot="1">
      <c r="H1561" s="491">
        <v>412</v>
      </c>
      <c r="I1561" s="712">
        <f>SUMIF($G$5:G1020,"412000",$I$5:I1020)</f>
        <v>55442932</v>
      </c>
      <c r="J1561" s="712">
        <f>SUMIF($G$5:G1020,"412000",$J$5:J1020)</f>
        <v>55442932</v>
      </c>
      <c r="K1561" s="712">
        <f>SUMIF($G$5:G1020,"412000",$K$5:K1020)</f>
        <v>26171157.63</v>
      </c>
      <c r="L1561" s="520"/>
    </row>
    <row r="1562" spans="8:12" ht="15" thickBot="1">
      <c r="H1562" s="491">
        <v>413</v>
      </c>
      <c r="I1562" s="492">
        <f>SUMIF($G$5:G1020,"413000",$I$5:I1020)</f>
        <v>0</v>
      </c>
      <c r="J1562" s="492">
        <f>SUMIF($G$5:G1020,"413000",$J$5:J1020)</f>
        <v>0</v>
      </c>
      <c r="K1562" s="492">
        <f>SUMIF($G$5:G1020,"413000",$K$5:K1020)</f>
        <v>0</v>
      </c>
      <c r="L1562" s="520"/>
    </row>
    <row r="1563" spans="8:12" ht="15.75" thickBot="1">
      <c r="H1563" s="491">
        <v>414</v>
      </c>
      <c r="I1563" s="492">
        <f>SUMIF($G$5:G1020,"414000",$I$5:I1020)</f>
        <v>21012244</v>
      </c>
      <c r="J1563" s="843">
        <f>SUMIF($G$5:G1020,"414000",$J$5:J1020)</f>
        <v>21162244</v>
      </c>
      <c r="K1563" s="492">
        <f>SUMIF($G$5:G1020,"414000",$K$5:K1020)</f>
        <v>4858709.130000001</v>
      </c>
      <c r="L1563" s="520"/>
    </row>
    <row r="1564" spans="8:12" ht="15" thickBot="1">
      <c r="H1564" s="491">
        <v>415</v>
      </c>
      <c r="I1564" s="492">
        <f>SUMIF($G$5:G1020,"415000",$I$5:I1020)</f>
        <v>14624000</v>
      </c>
      <c r="J1564" s="492">
        <f>SUMIF($G$5:G1020,"415000",$J$5:J1020)</f>
        <v>14624000</v>
      </c>
      <c r="K1564" s="492">
        <f>SUMIF($G$5:G1020,"415000",$K$5:K1020)</f>
        <v>6921415.779999999</v>
      </c>
      <c r="L1564" s="520"/>
    </row>
    <row r="1565" spans="8:12" ht="15" thickBot="1">
      <c r="H1565" s="491">
        <v>416</v>
      </c>
      <c r="I1565" s="492">
        <f>SUMIF($G$5:G1021,"416000",$I$5:I1021)</f>
        <v>6175000</v>
      </c>
      <c r="J1565" s="492">
        <f>SUMIF($G$5:G1020,"416000",$J$5:J1020)</f>
        <v>6175000</v>
      </c>
      <c r="K1565" s="492">
        <f>SUMIF($G$5:G1020,"416000",$K$5:K1020)</f>
        <v>662982.6499999999</v>
      </c>
      <c r="L1565" s="520"/>
    </row>
    <row r="1566" spans="8:12" ht="15" thickBot="1">
      <c r="H1566" s="491">
        <v>417</v>
      </c>
      <c r="I1566" s="492">
        <f>SUMIF($G$5:G1020,"417000",$I$5:I1020)</f>
        <v>1500000</v>
      </c>
      <c r="J1566" s="492">
        <f>SUMIF($G$5:G1020,"417000",$J$5:J1020)</f>
        <v>1500000</v>
      </c>
      <c r="K1566" s="492">
        <f>SUMIF($G$5:G1020,"417000",$K$5:K1020)</f>
        <v>960000.28</v>
      </c>
      <c r="L1566" s="520"/>
    </row>
    <row r="1567" spans="8:12" ht="15.75" thickBot="1">
      <c r="H1567" s="491">
        <v>421</v>
      </c>
      <c r="I1567" s="492">
        <f>SUMIF($G$5:G1020,"421000",$I$5:I1020)</f>
        <v>127496000</v>
      </c>
      <c r="J1567" s="843">
        <f>SUMIF($G$5:G1020,"421000",$J$5:J1020)</f>
        <v>134645000</v>
      </c>
      <c r="K1567" s="492">
        <f>SUMIF($G$5:G1020,"421000",$K$5:K1020)</f>
        <v>56867866.17999999</v>
      </c>
      <c r="L1567" s="520"/>
    </row>
    <row r="1568" spans="8:12" ht="15.75" thickBot="1">
      <c r="H1568" s="491">
        <v>422</v>
      </c>
      <c r="I1568" s="492">
        <f>SUMIF($G$5:G1020,"422000",$I$5:I1020)</f>
        <v>6510000</v>
      </c>
      <c r="J1568" s="843">
        <f>SUMIF($G$5:G1020,"422000",$J$5:J1020)</f>
        <v>6650000</v>
      </c>
      <c r="K1568" s="492">
        <f>SUMIF($G$5:G1020,"422000",$K$5:K1020)</f>
        <v>2054170.79</v>
      </c>
      <c r="L1568" s="520"/>
    </row>
    <row r="1569" spans="8:12" ht="15.75" thickBot="1">
      <c r="H1569" s="491">
        <v>423</v>
      </c>
      <c r="I1569" s="492">
        <f>SUMIF($G$5:G1020,"423000",$I$5:I1020)</f>
        <v>26654000</v>
      </c>
      <c r="J1569" s="843">
        <f>SUMIF($G$5:G1025,"423000",$J$5:J1020)</f>
        <v>26714000</v>
      </c>
      <c r="K1569" s="492">
        <f>SUMIF($G$5:G1020,"423000",$K$5:K1020)</f>
        <v>4375033.75</v>
      </c>
      <c r="L1569" s="520"/>
    </row>
    <row r="1570" spans="8:12" ht="15" thickBot="1">
      <c r="H1570" s="493">
        <v>424</v>
      </c>
      <c r="I1570" s="492">
        <f>SUMIF($G$5:G1020,"424000",$I$5:I1020)</f>
        <v>46765000</v>
      </c>
      <c r="J1570" s="492">
        <f>SUMIF($G$5:G1020,"424000",$J$5:J1020)</f>
        <v>46765000</v>
      </c>
      <c r="K1570" s="492">
        <f>SUMIF($G$5:G1020,"424000",$K$5:K1020)</f>
        <v>6460328.3100000005</v>
      </c>
      <c r="L1570" s="520"/>
    </row>
    <row r="1571" spans="8:12" ht="15.75" thickBot="1">
      <c r="H1571" s="491">
        <v>425</v>
      </c>
      <c r="I1571" s="492">
        <f>SUMIF($G$5:G1020,"425000",$I$5:I1020)</f>
        <v>105297500</v>
      </c>
      <c r="J1571" s="843">
        <f>SUMIF($G$5:G1020,"425000",$J$5:J1020)</f>
        <v>104350695</v>
      </c>
      <c r="K1571" s="492">
        <f>SUMIF($G$5:G1020,"425000",$K$5:K1020)</f>
        <v>23716751.880000003</v>
      </c>
      <c r="L1571" s="520"/>
    </row>
    <row r="1572" spans="8:12" ht="15.75" thickBot="1">
      <c r="H1572" s="491">
        <v>426</v>
      </c>
      <c r="I1572" s="492">
        <f>SUMIF($G$5:G1020,"426000",$I$5:I1020)</f>
        <v>10530000</v>
      </c>
      <c r="J1572" s="843">
        <f>SUMIF($G$5:G1020,"426000",$J$5:J1020)</f>
        <v>10685000</v>
      </c>
      <c r="K1572" s="492">
        <f>SUMIF($G$5:G1020,"426000",$K$5:K1020)</f>
        <v>2922176.59</v>
      </c>
      <c r="L1572" s="520"/>
    </row>
    <row r="1573" spans="8:12" ht="15" thickBot="1">
      <c r="H1573" s="493">
        <v>441</v>
      </c>
      <c r="I1573" s="492">
        <f>SUMIF($G$5:G1020,"441000",$I$5:I1020)</f>
        <v>10000000</v>
      </c>
      <c r="J1573" s="492">
        <f>SUMIF($G$5:G1020,"441000",$J$5:J1020)</f>
        <v>10000000</v>
      </c>
      <c r="K1573" s="492">
        <f>SUMIF($G$5:G1020,"441000",$K$5:K1020)</f>
        <v>3729636.27</v>
      </c>
      <c r="L1573" s="520"/>
    </row>
    <row r="1574" spans="8:12" ht="15" thickBot="1">
      <c r="H1574" s="491">
        <v>444</v>
      </c>
      <c r="I1574" s="492">
        <f>SUMIF($G$5:G1020,"444000",$I$5:I1020)</f>
        <v>0</v>
      </c>
      <c r="J1574" s="492">
        <f>SUMIF($G$5:G1020,"444000",$J$5:J1020)</f>
        <v>0</v>
      </c>
      <c r="K1574" s="492">
        <f>SUMIF($G$5:G1020,"444000",$K$5:K1020)</f>
        <v>0</v>
      </c>
      <c r="L1574" s="520"/>
    </row>
    <row r="1575" spans="8:12" ht="15" thickBot="1">
      <c r="H1575" s="491">
        <v>451</v>
      </c>
      <c r="I1575" s="492">
        <f>SUMIF($G$5:G1020,"451000",$I$5:I1020)</f>
        <v>192670000</v>
      </c>
      <c r="J1575" s="492">
        <f>SUMIF($G$5:G1020,"451000",$J$5:J1020)</f>
        <v>192670000</v>
      </c>
      <c r="K1575" s="492">
        <f>SUMIF($G$5:G1020,"451000",$K$5:K1020)</f>
        <v>70645207.91</v>
      </c>
      <c r="L1575" s="520"/>
    </row>
    <row r="1576" spans="8:12" ht="15" thickBot="1">
      <c r="H1576" s="491">
        <v>454</v>
      </c>
      <c r="I1576" s="492">
        <f>SUMIF($G$5:G1020,"454000",$I$5:I1020)</f>
        <v>5472400</v>
      </c>
      <c r="J1576" s="492">
        <f>SUMIF($G$5:G1020,"454000",$J$5:J1020)</f>
        <v>5472400</v>
      </c>
      <c r="K1576" s="492">
        <f>SUMIF($G$5:G1020,"454000",$K$5:K1020)</f>
        <v>2749954.38</v>
      </c>
      <c r="L1576" s="520"/>
    </row>
    <row r="1577" spans="8:12" ht="15.75" thickBot="1">
      <c r="H1577" s="491">
        <v>464</v>
      </c>
      <c r="I1577" s="492">
        <f>SUMIF($G$5:G1020,"464000",$I$5:I1020)</f>
        <v>46000000</v>
      </c>
      <c r="J1577" s="843">
        <f>SUMIF($G$5:G1020,"464000",$J$5:J1020)</f>
        <v>48500000</v>
      </c>
      <c r="K1577" s="492">
        <f>SUMIF($G$5:G1020,"464000",$K$5:K1020)</f>
        <v>11200458.49</v>
      </c>
      <c r="L1577" s="520"/>
    </row>
    <row r="1578" spans="8:12" ht="15" thickBot="1">
      <c r="H1578" s="491">
        <v>463</v>
      </c>
      <c r="I1578" s="492">
        <f>SUMIF($G$5:G1020,"463000",$I$5:I1020)</f>
        <v>188179200</v>
      </c>
      <c r="J1578" s="492">
        <f>SUMIF($G$5:G1020,"463000",$J$5:J1020)</f>
        <v>188179200</v>
      </c>
      <c r="K1578" s="492">
        <f>SUMIF($G$5:G1020,"463000",$K$5:K1020)</f>
        <v>69253991.18999998</v>
      </c>
      <c r="L1578" s="520"/>
    </row>
    <row r="1579" spans="8:12" ht="15" thickBot="1">
      <c r="H1579" s="491">
        <v>465</v>
      </c>
      <c r="I1579" s="492">
        <f>SUMIF($G$5:G1020,"465000",$I$5:I1020)</f>
        <v>34237418</v>
      </c>
      <c r="J1579" s="492">
        <f>SUMIF($G$5:G1020,"465000",$J$5:J1020)</f>
        <v>34237418</v>
      </c>
      <c r="K1579" s="492">
        <f>SUMIF($G$5:G1020,"465000",$K$5:K1020)</f>
        <v>14941353.089999998</v>
      </c>
      <c r="L1579" s="520"/>
    </row>
    <row r="1580" spans="8:12" ht="15.75" thickBot="1">
      <c r="H1580" s="491">
        <v>472</v>
      </c>
      <c r="I1580" s="492">
        <f>SUMIF($G$5:G1020,"472000",$I$5:I1020)</f>
        <v>18120000</v>
      </c>
      <c r="J1580" s="843">
        <f>SUMIF($G$5:G1020,"472000",$J$5:J1020)</f>
        <v>18140000</v>
      </c>
      <c r="K1580" s="492">
        <f>SUMIF($G$5:G1020,"472000",$K$5:K1020)</f>
        <v>8145605.8100000005</v>
      </c>
      <c r="L1580" s="520"/>
    </row>
    <row r="1581" spans="8:12" ht="15.75" thickBot="1">
      <c r="H1581" s="494">
        <v>481</v>
      </c>
      <c r="I1581" s="492">
        <f>SUMIF($G$5:G1020,"481000",$I$5:I1020)</f>
        <v>42028000</v>
      </c>
      <c r="J1581" s="843">
        <f>SUMIF($G$5:G1020,"481000",$J$5:J1020)</f>
        <v>44505804.42</v>
      </c>
      <c r="K1581" s="492">
        <f>SUMIF($G$5:G1020,"481000",$K$5:K1020)</f>
        <v>27419760.889999997</v>
      </c>
      <c r="L1581" s="520"/>
    </row>
    <row r="1582" spans="8:12" ht="15" thickBot="1">
      <c r="H1582" s="491">
        <v>482</v>
      </c>
      <c r="I1582" s="492">
        <f>SUMIF($G$5:G1020,"482000",$I$5:I1020)</f>
        <v>905000</v>
      </c>
      <c r="J1582" s="492">
        <f>SUMIF($G$5:G1020,"482000",$J$5:J1020)</f>
        <v>905000</v>
      </c>
      <c r="K1582" s="492">
        <f>SUMIF($G$5:G1020,"482000",$K$5:K1020)</f>
        <v>53831</v>
      </c>
      <c r="L1582" s="520"/>
    </row>
    <row r="1583" spans="8:12" ht="15.75" thickBot="1">
      <c r="H1583" s="491">
        <v>483</v>
      </c>
      <c r="I1583" s="492">
        <f>SUMIF($G$5:G1020,"483000",$I$5:I1020)</f>
        <v>15000000</v>
      </c>
      <c r="J1583" s="843">
        <f>SUMIF($G$5:G1020,"483000",$J$5:J1020)</f>
        <v>14895000</v>
      </c>
      <c r="K1583" s="492">
        <f>SUMIF($G$5:G1020,"483000",$K$5:K1020)</f>
        <v>10450766.92</v>
      </c>
      <c r="L1583" s="520"/>
    </row>
    <row r="1584" spans="8:12" ht="15.75" thickBot="1">
      <c r="H1584" s="491">
        <v>484</v>
      </c>
      <c r="I1584" s="492">
        <f>SUMIF($G$5:G1020,"484000",$I$5:I1020)</f>
        <v>50000</v>
      </c>
      <c r="J1584" s="843">
        <f>SUMIF($G$5:G1020,"484000",$J$5:J1020)</f>
        <v>4600766.92</v>
      </c>
      <c r="K1584" s="492">
        <f>SUMIF($G$5:G1020,"484000",$K$5:K1020)</f>
        <v>4553316.92</v>
      </c>
      <c r="L1584" s="520"/>
    </row>
    <row r="1585" spans="8:12" ht="15.75" thickBot="1">
      <c r="H1585" s="491">
        <v>499</v>
      </c>
      <c r="I1585" s="492">
        <f>SUMIF($G$5:G1020,"499000",$I$5:I1020)</f>
        <v>20000000</v>
      </c>
      <c r="J1585" s="843">
        <f>SUMIF($G$5:G1020,"499000",$J$5:J1020)</f>
        <v>9280793.66</v>
      </c>
      <c r="K1585" s="492">
        <f>SUMIF($G$5:G1020,"499000",$K$5:K1020)</f>
        <v>0</v>
      </c>
      <c r="L1585" s="520"/>
    </row>
    <row r="1586" spans="8:12" ht="15.75" thickBot="1">
      <c r="H1586" s="491">
        <v>511</v>
      </c>
      <c r="I1586" s="492">
        <f>SUMIF($G$5:G1020,"511000",$I$5:I1020)</f>
        <v>157790000</v>
      </c>
      <c r="J1586" s="843">
        <f>SUMIF($G$5:G1020,"511000",$J$5:J1020)</f>
        <v>152790000</v>
      </c>
      <c r="K1586" s="492">
        <f>SUMIF($G$5:G1020,"511000",$K$5:K1020)</f>
        <v>12546997.95</v>
      </c>
      <c r="L1586" s="520"/>
    </row>
    <row r="1587" spans="8:12" ht="15.75" thickBot="1">
      <c r="H1587" s="491">
        <v>512</v>
      </c>
      <c r="I1587" s="492">
        <f>SUMIF($G$5:G1020,"512000",$I$5:I1020)</f>
        <v>5110000</v>
      </c>
      <c r="J1587" s="843">
        <f>SUMIF($G$5:G1020,"512000",$J$5:J1020)</f>
        <v>11528440</v>
      </c>
      <c r="K1587" s="492">
        <f>SUMIF($G$5:G1020,"512000",$K$5:K1020)</f>
        <v>4070135.08</v>
      </c>
      <c r="L1587" s="520"/>
    </row>
    <row r="1588" spans="8:12" ht="15" thickBot="1">
      <c r="H1588" s="491">
        <v>513</v>
      </c>
      <c r="I1588" s="492">
        <f>SUMIF($G$5:G1020,"513000",$I$5:I1020)</f>
        <v>0</v>
      </c>
      <c r="J1588" s="492">
        <f>SUMIF($G$5:G1020,"513000",$J$5:J1020)</f>
        <v>0</v>
      </c>
      <c r="K1588" s="492">
        <f>SUMIF($G$5:G1020,"513000",$K$5:K1020)</f>
        <v>0</v>
      </c>
      <c r="L1588" s="520"/>
    </row>
    <row r="1589" spans="8:12" ht="15" thickBot="1">
      <c r="H1589" s="493">
        <v>514</v>
      </c>
      <c r="I1589" s="492">
        <f>SUMIF($G$5:G1020,"514000",$I$5:I1020)</f>
        <v>0</v>
      </c>
      <c r="J1589" s="492">
        <f>SUMIF($G$5:G1020,"514000",$J$5:J1020)</f>
        <v>0</v>
      </c>
      <c r="K1589" s="492">
        <f>SUMIF($G$5:G1020,"514000",$K$5:K1020)</f>
        <v>0</v>
      </c>
      <c r="L1589" s="520"/>
    </row>
    <row r="1590" spans="8:12" ht="15" thickBot="1">
      <c r="H1590" s="491">
        <v>515</v>
      </c>
      <c r="I1590" s="492">
        <f>SUMIF($G$5:G1020,"515000",$I$5:I1020)</f>
        <v>610000</v>
      </c>
      <c r="J1590" s="492">
        <f>SUMIF($G$5:G1020,"515000",$J$5:J1020)</f>
        <v>610000</v>
      </c>
      <c r="K1590" s="492">
        <f>SUMIF($G$5:G1020,"515000",$K$5:K1020)</f>
        <v>87701.8</v>
      </c>
      <c r="L1590" s="520"/>
    </row>
    <row r="1591" spans="8:12" ht="15.75" thickBot="1">
      <c r="H1591" s="491">
        <v>541</v>
      </c>
      <c r="I1591" s="492">
        <f>SUMIF($G$5:G1020,"541000",$I$5:I1020)</f>
        <v>46000000</v>
      </c>
      <c r="J1591" s="843">
        <f>SUMIF($G$5:G1020,"541000",$J$5:J1020)</f>
        <v>46600000</v>
      </c>
      <c r="K1591" s="492">
        <f>SUMIF($G$5:G1020,"541000",$K$5:K1020)</f>
        <v>0</v>
      </c>
      <c r="L1591" s="520"/>
    </row>
    <row r="1592" spans="8:12" ht="15" thickBot="1">
      <c r="H1592" s="491">
        <v>611</v>
      </c>
      <c r="I1592" s="492">
        <f>SUMIF($G$5:G1020,"611000",$I$5:I1020)</f>
        <v>35000000</v>
      </c>
      <c r="J1592" s="492">
        <f>SUMIF($G$5:G1020,"611000",$J$5:J1020)</f>
        <v>33250000</v>
      </c>
      <c r="K1592" s="492">
        <f>SUMIF($G$5:G1020,"611000",$K$5:K1020)</f>
        <v>17552357.92</v>
      </c>
      <c r="L1592" s="520"/>
    </row>
    <row r="1593" spans="8:12" ht="38.25" customHeight="1" thickBot="1">
      <c r="H1593" s="723" t="s">
        <v>3</v>
      </c>
      <c r="I1593" s="495">
        <f>SUM(I1560:I1592)</f>
        <v>1542006634</v>
      </c>
      <c r="J1593" s="495">
        <f>SUM(J1560:J1592)</f>
        <v>1542256634.0000002</v>
      </c>
      <c r="K1593" s="724">
        <f>SUM(K1560:K1592)</f>
        <v>539969445.7499999</v>
      </c>
      <c r="L1593" s="520"/>
    </row>
    <row r="1594" spans="8:11" ht="15">
      <c r="H1594" s="496"/>
      <c r="I1594" s="497"/>
      <c r="J1594" s="497"/>
      <c r="K1594" s="498"/>
    </row>
    <row r="1595" spans="8:11" ht="15">
      <c r="H1595" s="496"/>
      <c r="I1595" s="497"/>
      <c r="J1595" s="497"/>
      <c r="K1595" s="498"/>
    </row>
    <row r="1596" spans="8:11" ht="15">
      <c r="H1596" s="499"/>
      <c r="I1596" s="500"/>
      <c r="J1596" s="500"/>
      <c r="K1596" s="501"/>
    </row>
    <row r="1597" spans="8:11" ht="15">
      <c r="H1597" s="499"/>
      <c r="I1597" s="500"/>
      <c r="J1597" s="500"/>
      <c r="K1597" s="502"/>
    </row>
    <row r="1598" spans="8:11" ht="15">
      <c r="H1598" s="499"/>
      <c r="I1598" s="500"/>
      <c r="J1598" s="500"/>
      <c r="K1598" s="502"/>
    </row>
    <row r="1599" spans="8:11" ht="15">
      <c r="H1599" s="499"/>
      <c r="I1599" s="500"/>
      <c r="J1599" s="500"/>
      <c r="K1599" s="502"/>
    </row>
    <row r="1600" spans="8:11" ht="15">
      <c r="H1600" s="499"/>
      <c r="I1600" s="500"/>
      <c r="J1600" s="500"/>
      <c r="K1600" s="502"/>
    </row>
    <row r="1601" spans="8:11" ht="15">
      <c r="H1601" s="499"/>
      <c r="I1601" s="500"/>
      <c r="J1601" s="500"/>
      <c r="K1601" s="502"/>
    </row>
    <row r="1602" spans="8:11" ht="15">
      <c r="H1602" s="503"/>
      <c r="I1602" s="500"/>
      <c r="J1602" s="500"/>
      <c r="K1602" s="502"/>
    </row>
    <row r="1603" spans="8:11" ht="15">
      <c r="H1603" s="503"/>
      <c r="I1603" s="500"/>
      <c r="J1603" s="500"/>
      <c r="K1603" s="502"/>
    </row>
    <row r="1604" spans="8:11" ht="15.75" thickBot="1">
      <c r="H1604" s="503"/>
      <c r="I1604" s="500"/>
      <c r="J1604" s="500"/>
      <c r="K1604" s="502"/>
    </row>
    <row r="1605" spans="8:14" ht="15.75" thickBot="1">
      <c r="H1605" s="504">
        <v>4111</v>
      </c>
      <c r="I1605" s="579">
        <f>SUMIF(G8:G1016,"411100",I8:I1016)</f>
        <v>302827940</v>
      </c>
      <c r="J1605" s="844">
        <f>SUMIF(G8:G1012,"411100",J8:J1012)</f>
        <v>297377940</v>
      </c>
      <c r="K1605" s="505">
        <f>SUMIF(G8:G1012,"411100",K8:K1012)</f>
        <v>146597777.15999997</v>
      </c>
      <c r="M1605" s="515"/>
      <c r="N1605" s="515"/>
    </row>
    <row r="1606" spans="8:11" ht="15">
      <c r="H1606" s="506">
        <v>4121</v>
      </c>
      <c r="I1606" s="580">
        <f>SUMIF(G8:G1012,"412100",I8:I1012)</f>
        <v>36561752</v>
      </c>
      <c r="J1606" s="580">
        <f>SUMIF(G8:G1012,"412100",J8:J1012)</f>
        <v>36561752</v>
      </c>
      <c r="K1606" s="577">
        <f>SUMIF(G8:G1012,"412100",K8:K1012)</f>
        <v>17558345.610000003</v>
      </c>
    </row>
    <row r="1607" spans="8:11" ht="15">
      <c r="H1607" s="507">
        <v>4122</v>
      </c>
      <c r="I1607" s="581">
        <f>SUMIF(G8:G1012,"412200",I8:I1012)</f>
        <v>16491740</v>
      </c>
      <c r="J1607" s="581">
        <f>SUMIF(G8:G1012,"412200",J8:J1012)</f>
        <v>16491740</v>
      </c>
      <c r="K1607" s="578">
        <f>SUMIF(G8:G1012,"412200",K8:K1012)</f>
        <v>7517963.01</v>
      </c>
    </row>
    <row r="1608" spans="8:11" ht="15.75" thickBot="1">
      <c r="H1608" s="508">
        <v>4123</v>
      </c>
      <c r="I1608" s="582">
        <f>SUMIF(G8:G1012,"412300",I8:I1012)</f>
        <v>2389440</v>
      </c>
      <c r="J1608" s="582">
        <f>SUMIF(G8:G1012,"412300",J8:J1012)</f>
        <v>2389440</v>
      </c>
      <c r="K1608" s="576">
        <f>SUMIF(G8:G1012,"412300",K8:K1012)</f>
        <v>1094849.01</v>
      </c>
    </row>
    <row r="1609" spans="8:11" ht="15.75" thickBot="1">
      <c r="H1609" s="504">
        <v>4131</v>
      </c>
      <c r="I1609" s="579">
        <f>SUMIF(G8:G1012,"413100",I8:I1012)</f>
        <v>0</v>
      </c>
      <c r="J1609" s="579">
        <f>SUMIF(G8:G1012,"413100",J8:J1012)</f>
        <v>0</v>
      </c>
      <c r="K1609" s="505">
        <f>SUMIF(G8:G1012,"413100",K8:K1012)</f>
        <v>0</v>
      </c>
    </row>
    <row r="1610" spans="8:11" ht="15">
      <c r="H1610" s="506">
        <v>4141</v>
      </c>
      <c r="I1610" s="580">
        <f>SUMIF(G8:G1012,"414100",I8:I1012)</f>
        <v>500000</v>
      </c>
      <c r="J1610" s="580">
        <f>SUMIF(G8:G1012,"414100",J8:J1012)</f>
        <v>500000</v>
      </c>
      <c r="K1610" s="577">
        <f>SUMIF(G8:G1012,"414100",K8:K1012)</f>
        <v>158457.25</v>
      </c>
    </row>
    <row r="1611" spans="8:12" ht="15">
      <c r="H1611" s="507">
        <v>4143</v>
      </c>
      <c r="I1611" s="581">
        <f>SUMIF(G8:G1012,"414300",I8:I1012)</f>
        <v>19912244</v>
      </c>
      <c r="J1611" s="845">
        <f>SUMIF(G8:G1012,"414300",J8:J1012)</f>
        <v>20062244</v>
      </c>
      <c r="K1611" s="578">
        <f>SUMIF(G8:G1012,"414300",K8:K1012)</f>
        <v>4399989.22</v>
      </c>
      <c r="L1611" s="518">
        <f>I1611-J1611</f>
        <v>-150000</v>
      </c>
    </row>
    <row r="1612" spans="8:11" ht="15.75" thickBot="1">
      <c r="H1612" s="508">
        <v>4144</v>
      </c>
      <c r="I1612" s="582">
        <f>SUMIF(G8:G1012,"414400",I8:I1012)</f>
        <v>600000</v>
      </c>
      <c r="J1612" s="582">
        <f>SUMIF(G8:G1012,"414400",J8:J1012)</f>
        <v>600000</v>
      </c>
      <c r="K1612" s="576">
        <f>SUMIF(G8:G1012,"414400",K8:K1012)</f>
        <v>300262.66</v>
      </c>
    </row>
    <row r="1613" spans="8:11" ht="15.75" thickBot="1">
      <c r="H1613" s="504">
        <v>4151</v>
      </c>
      <c r="I1613" s="579">
        <f>SUMIF(G8:G1012,"415100",I8:I1012)</f>
        <v>14624000</v>
      </c>
      <c r="J1613" s="579">
        <f>SUMIF(G8:G1012,"415100",J8:J1012)</f>
        <v>14624000</v>
      </c>
      <c r="K1613" s="505">
        <f>SUMIF(G8:G1012,"415100",K8:K1012)</f>
        <v>6921415.779999999</v>
      </c>
    </row>
    <row r="1614" spans="8:11" ht="15.75" thickBot="1">
      <c r="H1614" s="504">
        <v>4161</v>
      </c>
      <c r="I1614" s="579">
        <f>SUMIF(G8:G1012,"416100",I8:I1012)</f>
        <v>6175000</v>
      </c>
      <c r="J1614" s="579">
        <f>SUMIF(G8:G1012,"416100",J8:J1012)</f>
        <v>6175000</v>
      </c>
      <c r="K1614" s="505">
        <f>SUMIF(G8:G1012,"416100",K8:K1012)</f>
        <v>662982.6499999999</v>
      </c>
    </row>
    <row r="1615" spans="8:11" ht="15.75" thickBot="1">
      <c r="H1615" s="504">
        <v>4171</v>
      </c>
      <c r="I1615" s="579">
        <f>SUMIF(G8:G1008,"417100",I8:I1012)</f>
        <v>1500000</v>
      </c>
      <c r="J1615" s="579">
        <f>SUMIF(G8:G1012,"417100",J8:J1012)</f>
        <v>1500000</v>
      </c>
      <c r="K1615" s="505">
        <f>SUMIF(G8:G1012,"417100",K8:K1012)</f>
        <v>960000.28</v>
      </c>
    </row>
    <row r="1616" spans="8:14" ht="15">
      <c r="H1616" s="506">
        <v>4211</v>
      </c>
      <c r="I1616" s="580">
        <f>SUMIF(G8:G1012,"421100",I8:I1012)</f>
        <v>1446000</v>
      </c>
      <c r="J1616" s="846">
        <f>SUMIF(G8:G1012,"421100",J8:J1012)</f>
        <v>1455000</v>
      </c>
      <c r="K1616" s="577">
        <f>SUMIF(G8:G1012,"421100",K8:K1012)</f>
        <v>715978.7000000001</v>
      </c>
      <c r="M1616" s="515"/>
      <c r="N1616" s="515"/>
    </row>
    <row r="1617" spans="8:11" ht="15">
      <c r="H1617" s="507">
        <v>4212</v>
      </c>
      <c r="I1617" s="581">
        <f>SUMIF(G8:G1012,"421200",I8:I1012)</f>
        <v>40654000</v>
      </c>
      <c r="J1617" s="845">
        <f>SUMIF(G8:G1012,"421200",J8:J1012)</f>
        <v>47794000</v>
      </c>
      <c r="K1617" s="578">
        <f>SUMIF(G8:G1012,"421200",K8:K1012)</f>
        <v>18000163.799999997</v>
      </c>
    </row>
    <row r="1618" spans="8:12" ht="15">
      <c r="H1618" s="507">
        <v>4213</v>
      </c>
      <c r="I1618" s="581">
        <f>SUMIF(G8:G1012,"421300",I8:I1012)</f>
        <v>74504000</v>
      </c>
      <c r="J1618" s="581">
        <f>SUMIF(G8:G1012,"421300",J8:J1012)</f>
        <v>74504000</v>
      </c>
      <c r="K1618" s="578">
        <f>SUMIF(G8:G1012,"421300",K8:K1012)</f>
        <v>33567088.120000005</v>
      </c>
      <c r="L1618" s="518">
        <f>I1618-J1618</f>
        <v>0</v>
      </c>
    </row>
    <row r="1619" spans="8:11" ht="15">
      <c r="H1619" s="507">
        <v>4214</v>
      </c>
      <c r="I1619" s="581">
        <f>SUMIF(G8:G1012,"421400",I8:I1012)</f>
        <v>4536500</v>
      </c>
      <c r="J1619" s="581">
        <f>SUMIF(G8:G1012,"421400",J8:J1012)</f>
        <v>4536500</v>
      </c>
      <c r="K1619" s="578">
        <f>SUMIF(G8:G1012,"421400",K8:K1012)</f>
        <v>1688602.8499999999</v>
      </c>
    </row>
    <row r="1620" spans="8:11" ht="15">
      <c r="H1620" s="507">
        <v>4215</v>
      </c>
      <c r="I1620" s="581">
        <f>SUMIF(G8:G1012,"421500",I8:I1012)</f>
        <v>1519500</v>
      </c>
      <c r="J1620" s="581">
        <f>SUMIF(G8:G1012,"421500",J8:J1012)</f>
        <v>1519500</v>
      </c>
      <c r="K1620" s="578">
        <f>SUMIF(G8:G1012,"421500",K8:K1012)</f>
        <v>229972.3</v>
      </c>
    </row>
    <row r="1621" spans="8:11" ht="15">
      <c r="H1621" s="507">
        <v>4216</v>
      </c>
      <c r="I1621" s="581">
        <f>SUMIF(G8:G1012,"421600",I8:I1012)</f>
        <v>4811000</v>
      </c>
      <c r="J1621" s="581">
        <f>SUMIF(G8:G1012,"421600",J8:J1012)</f>
        <v>4811000</v>
      </c>
      <c r="K1621" s="578">
        <f>SUMIF(G8:G1012,"421600",K8:K1012)</f>
        <v>2666060.41</v>
      </c>
    </row>
    <row r="1622" spans="8:11" ht="15">
      <c r="H1622" s="507">
        <v>4217</v>
      </c>
      <c r="I1622" s="581">
        <f>SUMIF(G8:G1012,"421700",I8:I1012)</f>
        <v>0</v>
      </c>
      <c r="J1622" s="581">
        <f>SUMIF(G8:G1012,"421700",J8:J1012)</f>
        <v>0</v>
      </c>
      <c r="K1622" s="578">
        <f>SUMIF(G8:G1012,"421700",K8:K1012)</f>
        <v>0</v>
      </c>
    </row>
    <row r="1623" spans="8:11" ht="15.75" thickBot="1">
      <c r="H1623" s="508">
        <v>4219</v>
      </c>
      <c r="I1623" s="582">
        <f>SUMIF(G8:G1012,"421900",I8:I1012)</f>
        <v>25000</v>
      </c>
      <c r="J1623" s="582">
        <f>SUMIF(G8:G1012,"421900",J8:J1012)</f>
        <v>25000</v>
      </c>
      <c r="K1623" s="576">
        <f>SUMIF(G8:G1012,"421900",K8:K1012)</f>
        <v>0</v>
      </c>
    </row>
    <row r="1624" spans="8:12" ht="15">
      <c r="H1624" s="506">
        <v>4221</v>
      </c>
      <c r="I1624" s="580">
        <f>SUMIF(G8:G1012,"422100",I8:I1012)</f>
        <v>2555000</v>
      </c>
      <c r="J1624" s="846">
        <f>SUMIF(G8:G1012,"422100",J8:J1012)</f>
        <v>2695000</v>
      </c>
      <c r="K1624" s="577">
        <f>SUMIF(G8:G1012,"422100",K8:K1012)</f>
        <v>535031.79</v>
      </c>
      <c r="L1624" s="518">
        <f>I1624-J1624</f>
        <v>-140000</v>
      </c>
    </row>
    <row r="1625" spans="8:11" ht="15">
      <c r="H1625" s="507">
        <v>4222</v>
      </c>
      <c r="I1625" s="581">
        <f>SUMIF(G8:G1012,"422200",I8:I1012)</f>
        <v>500000</v>
      </c>
      <c r="J1625" s="581">
        <f>SUMIF(G8:G1012,"422200",J8:J1012)</f>
        <v>500000</v>
      </c>
      <c r="K1625" s="578">
        <f>SUMIF(G8:G1012,"422200",K8:K1012)</f>
        <v>0</v>
      </c>
    </row>
    <row r="1626" spans="8:11" ht="15">
      <c r="H1626" s="507">
        <v>4223</v>
      </c>
      <c r="I1626" s="581">
        <f>SUMIF(G8:G1012,"422300",I8:I1012)</f>
        <v>155000</v>
      </c>
      <c r="J1626" s="581">
        <f>SUMIF(G8:G1012,"422300",J8:J1012)</f>
        <v>155000</v>
      </c>
      <c r="K1626" s="578">
        <f>SUMIF(G8:G1012,"422300",K8:K1012)</f>
        <v>30000</v>
      </c>
    </row>
    <row r="1627" spans="8:11" ht="15">
      <c r="H1627" s="507">
        <v>4224</v>
      </c>
      <c r="I1627" s="581">
        <f>SUMIF(G8:G1012,"422400",I8:I1012)</f>
        <v>0</v>
      </c>
      <c r="J1627" s="581">
        <f>SUMIF(G8:G1012,"422400",J8:J1012)</f>
        <v>0</v>
      </c>
      <c r="K1627" s="578">
        <f>SUMIF(G8:G1012,"422400",K8:K1012)</f>
        <v>0</v>
      </c>
    </row>
    <row r="1628" spans="8:11" ht="15">
      <c r="H1628" s="507">
        <v>4225</v>
      </c>
      <c r="I1628" s="581">
        <f>SUMIF(G8:G1012,"422500",I8:I1012)</f>
        <v>0</v>
      </c>
      <c r="J1628" s="581">
        <f>SUMIF(G8:G1012,"422500",J8:J1012)</f>
        <v>0</v>
      </c>
      <c r="K1628" s="578">
        <f>SUMIF(G8:G1012,"422500",K8:K1012)</f>
        <v>0</v>
      </c>
    </row>
    <row r="1629" spans="8:11" ht="15">
      <c r="H1629" s="507">
        <v>4226</v>
      </c>
      <c r="I1629" s="581">
        <f>SUMIF(G8:G1012,"422600",I8:I1012)</f>
        <v>0</v>
      </c>
      <c r="J1629" s="581">
        <f>SUMIF(G8:G1012,"422600",J8:J1012)</f>
        <v>0</v>
      </c>
      <c r="K1629" s="578">
        <f>SUMIF(G8:G1012,"422600",K8:K1012)</f>
        <v>0</v>
      </c>
    </row>
    <row r="1630" spans="8:11" ht="15">
      <c r="H1630" s="507">
        <v>4227</v>
      </c>
      <c r="I1630" s="581">
        <f>SUMIF(G8:G1012,"422700",I8:I1012)</f>
        <v>0</v>
      </c>
      <c r="J1630" s="581">
        <f>SUMIF(G8:G1012,"422700",J8:J1012)</f>
        <v>0</v>
      </c>
      <c r="K1630" s="578">
        <f>SUMIF(G8:G1012,"422700",K8:K1012)</f>
        <v>0</v>
      </c>
    </row>
    <row r="1631" spans="8:11" ht="15">
      <c r="H1631" s="507">
        <v>4228</v>
      </c>
      <c r="I1631" s="581">
        <f>SUMIF(G8:G1012,"422800",I8:I1012)</f>
        <v>0</v>
      </c>
      <c r="J1631" s="581">
        <f>SUMIF(G8:G1012,"422800",J8:J1012)</f>
        <v>0</v>
      </c>
      <c r="K1631" s="578">
        <f>SUMIF(G8:G1012,"422800",K8:K1012)</f>
        <v>0</v>
      </c>
    </row>
    <row r="1632" spans="8:11" ht="15.75" thickBot="1">
      <c r="H1632" s="508">
        <v>4229</v>
      </c>
      <c r="I1632" s="582">
        <f>SUMIF(G8:G1012,"422900",I8:I1012)</f>
        <v>3300000</v>
      </c>
      <c r="J1632" s="582">
        <f>SUMIF(G8:G1012,"422900",J8:J1012)</f>
        <v>3300000</v>
      </c>
      <c r="K1632" s="576">
        <f>SUMIF(G8:G1012,"422900",K8:K1012)</f>
        <v>1489139</v>
      </c>
    </row>
    <row r="1633" spans="8:11" ht="15">
      <c r="H1633" s="506">
        <v>4231</v>
      </c>
      <c r="I1633" s="580">
        <f>SUMIF(G8:G1012,"423100",I8:I1012)</f>
        <v>110000</v>
      </c>
      <c r="J1633" s="580">
        <f>SUMIF(G8:G1012,"423100",J8:J1012)</f>
        <v>110000</v>
      </c>
      <c r="K1633" s="577">
        <f>SUMIF(G8:G1012,"423100",K8:K1012)</f>
        <v>0</v>
      </c>
    </row>
    <row r="1634" spans="8:11" ht="15">
      <c r="H1634" s="507">
        <v>4232</v>
      </c>
      <c r="I1634" s="581">
        <f>SUMIF(G8:G1012,"423200",I8:I1012)</f>
        <v>1985000</v>
      </c>
      <c r="J1634" s="581">
        <f>SUMIF(G8:G1012,"423200",J8:J1012)</f>
        <v>1985000</v>
      </c>
      <c r="K1634" s="578">
        <f>SUMIF(G8:G1012,"423200",K8:K1012)</f>
        <v>867689.02</v>
      </c>
    </row>
    <row r="1635" spans="8:12" ht="15">
      <c r="H1635" s="507">
        <v>4233</v>
      </c>
      <c r="I1635" s="581">
        <f>SUMIF(G8:G1012,"423300",I8:I1012)</f>
        <v>470000</v>
      </c>
      <c r="J1635" s="845">
        <f>SUMIF(G8:G1012,"423300",J8:J1012)</f>
        <v>530000</v>
      </c>
      <c r="K1635" s="578">
        <f>SUMIF(G8:G1012,"423300",K8:K1012)</f>
        <v>187910</v>
      </c>
      <c r="L1635" s="518">
        <f>I1635-J1635</f>
        <v>-60000</v>
      </c>
    </row>
    <row r="1636" spans="8:11" ht="15">
      <c r="H1636" s="507">
        <v>4234</v>
      </c>
      <c r="I1636" s="581">
        <f>SUMIF(G8:G1012,"423400",I8:I1012)</f>
        <v>6059000</v>
      </c>
      <c r="J1636" s="581">
        <f>SUMIF(G8:G1012,"423400",J8:J1012)</f>
        <v>6059000</v>
      </c>
      <c r="K1636" s="578">
        <f>SUMIF(G8:G1012,"423400",K8:K1012)</f>
        <v>1028705.61</v>
      </c>
    </row>
    <row r="1637" spans="8:12" ht="15">
      <c r="H1637" s="507">
        <v>4235</v>
      </c>
      <c r="I1637" s="581">
        <f>SUMIF(G8:G1012,"423500",I8:I1012)</f>
        <v>14985000</v>
      </c>
      <c r="J1637" s="581">
        <f>SUMIF(G8:G1012,"423500",J8:J1012)</f>
        <v>14985000</v>
      </c>
      <c r="K1637" s="578">
        <f>SUMIF(G8:G1012,"423500",K8:K1012)</f>
        <v>1579015.95</v>
      </c>
      <c r="L1637" s="518">
        <f>I1637-J1637</f>
        <v>0</v>
      </c>
    </row>
    <row r="1638" spans="8:11" ht="15">
      <c r="H1638" s="507">
        <v>4236</v>
      </c>
      <c r="I1638" s="581">
        <f>SUMIF(G8:G1012,"423600",I8:I1012)</f>
        <v>1760000</v>
      </c>
      <c r="J1638" s="581">
        <f>SUMIF(G8:G1012,"423600",J8:J1012)</f>
        <v>1760000</v>
      </c>
      <c r="K1638" s="578">
        <f>SUMIF(G8:G1012,"423600",K8:K1012)</f>
        <v>469356.5</v>
      </c>
    </row>
    <row r="1639" spans="8:11" ht="15">
      <c r="H1639" s="507">
        <v>4237</v>
      </c>
      <c r="I1639" s="581">
        <f>SUMIF(G8:G1012,"423700",I8:I1012)</f>
        <v>805000</v>
      </c>
      <c r="J1639" s="581">
        <f>SUMIF(G8:G1012,"423700",J8:J1012)</f>
        <v>805000</v>
      </c>
      <c r="K1639" s="578">
        <f>SUMIF(G8:G1012,"423700",K8:K1012)</f>
        <v>168100.42</v>
      </c>
    </row>
    <row r="1640" spans="8:11" ht="15">
      <c r="H1640" s="507">
        <v>4238</v>
      </c>
      <c r="I1640" s="581">
        <f>SUMIF(G8:G1012,"423800",I8:I1012)</f>
        <v>0</v>
      </c>
      <c r="J1640" s="581">
        <f>SUMIF(G8:G1012,"423800",J8:J1012)</f>
        <v>0</v>
      </c>
      <c r="K1640" s="578">
        <f>SUMIF(G8:G1012,"423800",K8:K1012)</f>
        <v>0</v>
      </c>
    </row>
    <row r="1641" spans="8:11" ht="15.75" thickBot="1">
      <c r="H1641" s="508">
        <v>4239</v>
      </c>
      <c r="I1641" s="582">
        <f>SUMIF(G8:G1012,"423900",I8:I1012)</f>
        <v>480000</v>
      </c>
      <c r="J1641" s="582">
        <f>SUMIF(G8:G1012,"423900",J8:J1012)</f>
        <v>480000</v>
      </c>
      <c r="K1641" s="576">
        <f>SUMIF(G8:G1012,"423900",K8:K1012)</f>
        <v>74256.25</v>
      </c>
    </row>
    <row r="1642" spans="8:11" ht="15">
      <c r="H1642" s="506">
        <v>4241</v>
      </c>
      <c r="I1642" s="580">
        <f>SUMIF(G8:G1012,"424100",I8:I1012)</f>
        <v>0</v>
      </c>
      <c r="J1642" s="580">
        <f>SUMIF(G8:G1012,"424100",J8:J1012)</f>
        <v>0</v>
      </c>
      <c r="K1642" s="577">
        <f>SUMIF(G8:G1012,"424100",K8:K1012)</f>
        <v>0</v>
      </c>
    </row>
    <row r="1643" spans="8:12" ht="15">
      <c r="H1643" s="507">
        <v>4242</v>
      </c>
      <c r="I1643" s="581">
        <f>SUMIF(G8:G1012,"424200",I8:I1012)</f>
        <v>12945000</v>
      </c>
      <c r="J1643" s="689">
        <f>SUMIF(G8:G1012,"424200",J8:J1012)</f>
        <v>12945000</v>
      </c>
      <c r="K1643" s="578">
        <f>SUMIF(G8:G1012,"424200",K8:K1012)</f>
        <v>3768940.65</v>
      </c>
      <c r="L1643" s="518">
        <f>I1643-J1643</f>
        <v>0</v>
      </c>
    </row>
    <row r="1644" spans="8:11" ht="15">
      <c r="H1644" s="507">
        <v>4243</v>
      </c>
      <c r="I1644" s="581">
        <f>SUMIF(G8:G1012,"424300",I8:I1012)</f>
        <v>1020000</v>
      </c>
      <c r="J1644" s="581">
        <f>SUMIF(G8:G1012,"424300",J8:J1012)</f>
        <v>1020000</v>
      </c>
      <c r="K1644" s="578">
        <f>SUMIF(G8:G1012,"424300",K8:K1012)</f>
        <v>19765</v>
      </c>
    </row>
    <row r="1645" spans="8:11" ht="15">
      <c r="H1645" s="507">
        <v>4246</v>
      </c>
      <c r="I1645" s="581">
        <f>SUMIF(G8:G1012,"424600",I8:I1008)</f>
        <v>25070000</v>
      </c>
      <c r="J1645" s="581">
        <f>SUMIF(G8:G1008,"424600",J8:J1012)</f>
        <v>25070000</v>
      </c>
      <c r="K1645" s="578">
        <f>SUMIF(G8:G1012,"424600",K8:K1012)</f>
        <v>2334586</v>
      </c>
    </row>
    <row r="1646" spans="8:11" ht="15">
      <c r="H1646" s="507">
        <v>4247</v>
      </c>
      <c r="I1646" s="581">
        <f>SUMIF(G8:G1012,"424700",I8:I1012)</f>
        <v>0</v>
      </c>
      <c r="J1646" s="581">
        <f>SUMIF(G8:G1012,"424700",J8:J1012)</f>
        <v>0</v>
      </c>
      <c r="K1646" s="578">
        <f>SUMIF(G8:G1012,"424700",K8:K1012)</f>
        <v>0</v>
      </c>
    </row>
    <row r="1647" spans="8:11" ht="15">
      <c r="H1647" s="507">
        <v>4248</v>
      </c>
      <c r="I1647" s="581">
        <f>SUMIF(G8:G1012,"424800",I8:I1012)</f>
        <v>0</v>
      </c>
      <c r="J1647" s="581">
        <f>SUMIF(G8:G1012,"424800",J8:J1012)</f>
        <v>0</v>
      </c>
      <c r="K1647" s="578">
        <f>SUMIF(G8:G1012,"424800",K8:K1012)</f>
        <v>0</v>
      </c>
    </row>
    <row r="1648" spans="8:11" ht="15.75" thickBot="1">
      <c r="H1648" s="508">
        <v>4249</v>
      </c>
      <c r="I1648" s="582">
        <f>SUMIF(G8:G1012,"424900",I8:I1012)</f>
        <v>7730000</v>
      </c>
      <c r="J1648" s="582">
        <f>SUMIF(G8:G1012,"424900",J8:J1012)</f>
        <v>7730000</v>
      </c>
      <c r="K1648" s="576">
        <f>SUMIF(G8:G1012,"424900",K8:K1012)</f>
        <v>337036.66000000003</v>
      </c>
    </row>
    <row r="1649" spans="8:12" ht="15">
      <c r="H1649" s="506">
        <v>4251</v>
      </c>
      <c r="I1649" s="580">
        <f>SUMIF(G8:G1012,"425100",I8:I1012)</f>
        <v>102582500</v>
      </c>
      <c r="J1649" s="846">
        <f>SUMIF(G8:G1012,"425100",J8:J1012)</f>
        <v>101635695</v>
      </c>
      <c r="K1649" s="577">
        <f>SUMIF(G8:G1012,"425100",K8:K1012)</f>
        <v>22349590.240000002</v>
      </c>
      <c r="L1649" s="518">
        <f>I1649-J1649</f>
        <v>946805</v>
      </c>
    </row>
    <row r="1650" spans="8:11" ht="15.75" thickBot="1">
      <c r="H1650" s="508">
        <v>4252</v>
      </c>
      <c r="I1650" s="582">
        <f>SUMIF(G8:G1012,"425200",I8:I1012)</f>
        <v>2715000</v>
      </c>
      <c r="J1650" s="582">
        <f>SUMIF(G8:G1012,"425200",J8:J1012)</f>
        <v>2715000</v>
      </c>
      <c r="K1650" s="576">
        <f>SUMIF(G8:G1012,"425200",K8:K1012)</f>
        <v>1367161.64</v>
      </c>
    </row>
    <row r="1651" spans="8:11" ht="15">
      <c r="H1651" s="506">
        <v>4261</v>
      </c>
      <c r="I1651" s="580">
        <f>SUMIF(G8:G1012,"426100",I8:I1012)</f>
        <v>5270000</v>
      </c>
      <c r="J1651" s="846">
        <f>SUMIF(G8:G1012,"426100",J8:J1012)</f>
        <v>5320000</v>
      </c>
      <c r="K1651" s="577">
        <f>SUMIF(G8:G1012,"426100",K8:K1012)</f>
        <v>1299935.2</v>
      </c>
    </row>
    <row r="1652" spans="8:11" ht="15">
      <c r="H1652" s="507">
        <v>4262</v>
      </c>
      <c r="I1652" s="581">
        <f>SUMIF(G8:G1012,"426200",I8:I1012)</f>
        <v>0</v>
      </c>
      <c r="J1652" s="581">
        <f>SUMIF(G8:G1012,"426200",J8:J1012)</f>
        <v>0</v>
      </c>
      <c r="K1652" s="578">
        <f>SUMIF(G8:G1012,"426200",K8:K1012)</f>
        <v>0</v>
      </c>
    </row>
    <row r="1653" spans="8:11" ht="15">
      <c r="H1653" s="507">
        <v>4263</v>
      </c>
      <c r="I1653" s="581">
        <f>SUMIF(G8:G1012,"426300",I8:I1012)</f>
        <v>180000</v>
      </c>
      <c r="J1653" s="581">
        <f>SUMIF(G8:G1012,"426300",J8:J1012)</f>
        <v>180000</v>
      </c>
      <c r="K1653" s="578">
        <f>SUMIF(G8:G1012,"426300",K8:K1012)</f>
        <v>129000</v>
      </c>
    </row>
    <row r="1654" spans="8:11" ht="15">
      <c r="H1654" s="507">
        <v>4264</v>
      </c>
      <c r="I1654" s="581">
        <f>SUMIF(G8:G1012,"426400",I8:I1012)</f>
        <v>3340000</v>
      </c>
      <c r="J1654" s="581">
        <f>SUMIF(G8:G1012,"426400",J8:J1012)</f>
        <v>3340000</v>
      </c>
      <c r="K1654" s="578">
        <f>SUMIF(G8:G1012,"426400",K8:K1012)</f>
        <v>907004.1699999999</v>
      </c>
    </row>
    <row r="1655" spans="8:11" ht="15">
      <c r="H1655" s="507">
        <v>4265</v>
      </c>
      <c r="I1655" s="581">
        <f>SUMIF(G8:G1012,"426500",I8:I1012)</f>
        <v>0</v>
      </c>
      <c r="J1655" s="581">
        <f>SUMIF(G8:G1012,"426500",J8:J1012)</f>
        <v>0</v>
      </c>
      <c r="K1655" s="578">
        <f>SUMIF(G8:G1012,"426500",K8:K1012)</f>
        <v>0</v>
      </c>
    </row>
    <row r="1656" spans="8:11" ht="15">
      <c r="H1656" s="507">
        <v>4266</v>
      </c>
      <c r="I1656" s="581">
        <f>SUMIF(G8:G1012,"426600",I8:I1012)</f>
        <v>530000</v>
      </c>
      <c r="J1656" s="845">
        <f>SUMIF(G8:G1012,"426600",J8:J1012)</f>
        <v>635000</v>
      </c>
      <c r="K1656" s="578">
        <f>SUMIF(G8:G1012,"426600",K8:K1012)</f>
        <v>277557.08999999997</v>
      </c>
    </row>
    <row r="1657" spans="8:11" ht="15">
      <c r="H1657" s="507">
        <v>4267</v>
      </c>
      <c r="I1657" s="581">
        <f>SUMIF(G8:G1012,"426700",I8:I1012)</f>
        <v>0</v>
      </c>
      <c r="J1657" s="581">
        <f>SUMIF(G8:G1012,"426700",J8:J1012)</f>
        <v>0</v>
      </c>
      <c r="K1657" s="578">
        <f>SUMIF(G8:G1012,"426700",K8:K1012)</f>
        <v>0</v>
      </c>
    </row>
    <row r="1658" spans="8:11" ht="15">
      <c r="H1658" s="507">
        <v>4268</v>
      </c>
      <c r="I1658" s="581">
        <f>SUMIF(G8:G1012,"426800",I8:I1012)</f>
        <v>1135000</v>
      </c>
      <c r="J1658" s="581">
        <f>SUMIF(G8:G1012,"426800",J8:J1012)</f>
        <v>1135000</v>
      </c>
      <c r="K1658" s="578">
        <f>SUMIF(G8:G1012,"426800",K8:K1012)</f>
        <v>275251.13</v>
      </c>
    </row>
    <row r="1659" spans="8:11" ht="15.75" thickBot="1">
      <c r="H1659" s="508">
        <v>4269</v>
      </c>
      <c r="I1659" s="582">
        <f>SUMIF(G8:G1012,"426900",I8:I1012)</f>
        <v>75000</v>
      </c>
      <c r="J1659" s="582">
        <f>SUMIF(G8:G1012,"426900",J8:J1012)</f>
        <v>75000</v>
      </c>
      <c r="K1659" s="576">
        <f>SUMIF(G8:G1012,"426900",K8:K1012)</f>
        <v>33429</v>
      </c>
    </row>
    <row r="1660" spans="8:11" ht="15.75" thickBot="1">
      <c r="H1660" s="507">
        <v>4343</v>
      </c>
      <c r="I1660" s="582">
        <f>SUMIF(G9:G1012,"434300",I9:I1012)</f>
        <v>0</v>
      </c>
      <c r="J1660" s="582">
        <f>SUMIF(G9:G1012,"434300",J9:J1012)</f>
        <v>0</v>
      </c>
      <c r="K1660" s="576">
        <f>SUMIF(G9:G1012,"434300",K9:K1012)</f>
        <v>0</v>
      </c>
    </row>
    <row r="1661" spans="8:14" ht="15">
      <c r="H1661" s="506">
        <v>4414</v>
      </c>
      <c r="I1661" s="580">
        <f>SUMIF(G8:G1012,"441400",I8:I1012)</f>
        <v>10000000</v>
      </c>
      <c r="J1661" s="580">
        <f>SUMIF(G8:G1012,"441400",J8:J1012)</f>
        <v>10000000</v>
      </c>
      <c r="K1661" s="577">
        <f>SUMIF(G8:G1012,"441400",K8:K1012)</f>
        <v>3729636.27</v>
      </c>
      <c r="M1661" s="518"/>
      <c r="N1661" s="515"/>
    </row>
    <row r="1662" spans="8:14" ht="15.75" thickBot="1">
      <c r="H1662" s="508">
        <v>4419</v>
      </c>
      <c r="I1662" s="581">
        <f>SUMIF(G8:G1012,"441900",I8:I1012)</f>
        <v>0</v>
      </c>
      <c r="J1662" s="581">
        <f>SUMIF(G8:G1012,"441900",J8:J1012)</f>
        <v>0</v>
      </c>
      <c r="K1662" s="578">
        <f>SUMIF(G8:G1012,"441900",K8:K1012)</f>
        <v>0</v>
      </c>
      <c r="M1662" s="518"/>
      <c r="N1662" s="515"/>
    </row>
    <row r="1663" spans="8:11" ht="15.75" thickBot="1">
      <c r="H1663" s="504">
        <v>4441</v>
      </c>
      <c r="I1663" s="579">
        <f>SUMIF(G8:G1012,"444100",I8:I1012)</f>
        <v>0</v>
      </c>
      <c r="J1663" s="579">
        <f>SUMIF(G8:G1012,"444100",J8:J1012)</f>
        <v>0</v>
      </c>
      <c r="K1663" s="505">
        <f>SUMIF(G8:G1012,"444100",K8:K1012)</f>
        <v>0</v>
      </c>
    </row>
    <row r="1664" spans="8:13" ht="15">
      <c r="H1664" s="506">
        <v>4511</v>
      </c>
      <c r="I1664" s="580">
        <f>SUMIF(G8:G1008,"451100",I8:I1012)</f>
        <v>133000000</v>
      </c>
      <c r="J1664" s="580">
        <f>SUMIF(G8:G1008,"451100",J8:J1008)</f>
        <v>133000000</v>
      </c>
      <c r="K1664" s="577">
        <f>SUMIF(G8:G1012,"451100",K8:K1012)</f>
        <v>70645207.91</v>
      </c>
      <c r="M1664" s="515"/>
    </row>
    <row r="1665" spans="8:11" ht="15.75" thickBot="1">
      <c r="H1665" s="508">
        <v>4512</v>
      </c>
      <c r="I1665" s="582">
        <f>SUMIF(G8:G1008,"451200",I8:I1012)</f>
        <v>59670000</v>
      </c>
      <c r="J1665" s="582">
        <f>SUMIF(G8:G1008,"451200",J8:J1008)</f>
        <v>59670000</v>
      </c>
      <c r="K1665" s="576">
        <f>SUMIF(G8:G1012,"451200",K8:K1012)</f>
        <v>0</v>
      </c>
    </row>
    <row r="1666" spans="8:11" ht="15.75" thickBot="1">
      <c r="H1666" s="504">
        <v>4541</v>
      </c>
      <c r="I1666" s="579">
        <f>SUMIF(G8:G1008,"454100",I8:I1012)</f>
        <v>5472400</v>
      </c>
      <c r="J1666" s="579">
        <f>SUMIF(G8:G1008,"454100",J8:J1008)</f>
        <v>5472400</v>
      </c>
      <c r="K1666" s="505">
        <f>SUMIF(G8:G1012,"454100",K8:K1012)</f>
        <v>2749954.38</v>
      </c>
    </row>
    <row r="1667" spans="8:13" ht="15.75" thickBot="1">
      <c r="H1667" s="506">
        <v>4631</v>
      </c>
      <c r="I1667" s="580">
        <f>SUMIF(G8:G1008,"463100",I8:I1012)</f>
        <v>188179200</v>
      </c>
      <c r="J1667" s="580">
        <f>SUMIF(G8:G1008,"463100",J8:J1008)</f>
        <v>188179200</v>
      </c>
      <c r="K1667" s="505">
        <f>SUMIF(G9:G1013,"463100",K9:K1013)</f>
        <v>69253991.18999998</v>
      </c>
      <c r="M1667" s="515"/>
    </row>
    <row r="1668" spans="8:11" ht="15.75" thickBot="1">
      <c r="H1668" s="508">
        <v>4632</v>
      </c>
      <c r="I1668" s="582">
        <f>SUMIF(G8:G1008,"463200",I8:I1012)</f>
        <v>0</v>
      </c>
      <c r="J1668" s="582">
        <f>SUMIF(G8:G1008,"463200",J8:J1008)</f>
        <v>0</v>
      </c>
      <c r="K1668" s="505">
        <f>SUMIF(G10:G1013,"463200",K10:K1013)</f>
        <v>0</v>
      </c>
    </row>
    <row r="1669" spans="8:11" ht="15.75" thickBot="1">
      <c r="H1669" s="508">
        <v>4641</v>
      </c>
      <c r="I1669" s="582">
        <f>SUMIF(G9:G1016,"464100",I9:I1016)</f>
        <v>41000000</v>
      </c>
      <c r="J1669" s="847">
        <f>SUMIF(G9:G1016,"464100",J9:J1016)</f>
        <v>43500000</v>
      </c>
      <c r="K1669" s="582">
        <f>SUMIF(G9:G1016,"464100",K9:K1016)</f>
        <v>10360949.99</v>
      </c>
    </row>
    <row r="1670" spans="8:11" ht="15.75" thickBot="1">
      <c r="H1670" s="508">
        <v>4642</v>
      </c>
      <c r="I1670" s="582">
        <f>SUMIF(G10:G1016,"464200",I10:I1016)</f>
        <v>5000000</v>
      </c>
      <c r="J1670" s="582">
        <f>SUMIF(G10:G1016,"464200",J10:J1016)</f>
        <v>5000000</v>
      </c>
      <c r="K1670" s="582">
        <f>SUMIF(G10:I1016,"464200",K10:K1016)</f>
        <v>839508.5</v>
      </c>
    </row>
    <row r="1671" spans="8:11" ht="15.75" thickBot="1">
      <c r="H1671" s="601">
        <v>4649</v>
      </c>
      <c r="I1671" s="582">
        <f>SUMIF(G9:G1009,"464900",I9:I1013)</f>
        <v>0</v>
      </c>
      <c r="J1671" s="582">
        <f>SUMIF(G9:G1009,"464900",J9:J1009)</f>
        <v>0</v>
      </c>
      <c r="K1671" s="505">
        <f>SUMIF(G11:G1013,"464900",K11:K1013)</f>
        <v>0</v>
      </c>
    </row>
    <row r="1672" spans="8:11" ht="15.75" thickBot="1">
      <c r="H1672" s="507">
        <v>4651</v>
      </c>
      <c r="I1672" s="579">
        <f>SUMIF(G8:G1008,"465100",I8:I1012)</f>
        <v>34237418</v>
      </c>
      <c r="J1672" s="579">
        <f>SUMIF(G8:G1008,"465100",J8:J1008)</f>
        <v>34237418</v>
      </c>
      <c r="K1672" s="609">
        <f>SUMIF(fplan!$G$5:$G$1016,465100,fplan!$K$5:$K$1016)</f>
        <v>14941353.089999998</v>
      </c>
    </row>
    <row r="1673" spans="8:13" ht="15">
      <c r="H1673" s="506">
        <v>4723</v>
      </c>
      <c r="I1673" s="580">
        <f>SUMIF(G8:G1008,"472300",I8:I1012)</f>
        <v>14000000</v>
      </c>
      <c r="J1673" s="846">
        <f>SUMIF(G8:G1008,"472300",J8:J1008)</f>
        <v>13920000</v>
      </c>
      <c r="K1673" s="577">
        <f>SUMIF(G8:G1008,"472300",K8:K1008)</f>
        <v>7676605.8100000005</v>
      </c>
      <c r="M1673" s="518"/>
    </row>
    <row r="1674" spans="8:11" ht="15">
      <c r="H1674" s="507">
        <v>4724</v>
      </c>
      <c r="I1674" s="581">
        <f>SUMIF(G8:G1008,"472400",I8:I1012)</f>
        <v>0</v>
      </c>
      <c r="J1674" s="581">
        <f>SUMIF(G8:G1008,"472400",J8:J1008)</f>
        <v>0</v>
      </c>
      <c r="K1674" s="578">
        <f>SUMIF(G8:G1012,"472400",K8:K1012)</f>
        <v>0</v>
      </c>
    </row>
    <row r="1675" spans="8:11" ht="15">
      <c r="H1675" s="507">
        <v>4725</v>
      </c>
      <c r="I1675" s="581">
        <f>SUMIF(G8:G1008,"472500",I8:I1012)</f>
        <v>0</v>
      </c>
      <c r="J1675" s="581">
        <f>SUMIF(G8:G1008,"472500",J8:J1008)</f>
        <v>0</v>
      </c>
      <c r="K1675" s="578">
        <f>SUMIF(G8:G1012,"472500",K8:K1012)</f>
        <v>0</v>
      </c>
    </row>
    <row r="1676" spans="8:11" ht="15">
      <c r="H1676" s="507">
        <v>4726</v>
      </c>
      <c r="I1676" s="581">
        <f>SUMIF(G8:G1008,"472600",I8:I1012)</f>
        <v>0</v>
      </c>
      <c r="J1676" s="581">
        <f>SUMIF(G8:G1008,"472600",J8:J1008)</f>
        <v>0</v>
      </c>
      <c r="K1676" s="578">
        <f>SUMIF(G8:G1012,"472600",K8:K1012)</f>
        <v>0</v>
      </c>
    </row>
    <row r="1677" spans="8:11" ht="15">
      <c r="H1677" s="507">
        <v>4727</v>
      </c>
      <c r="I1677" s="581">
        <f>SUMIF(G8:G1008,"472700",I8:I1012)</f>
        <v>4000000</v>
      </c>
      <c r="J1677" s="845">
        <f>SUMIF(G8:G1008,"472700",J8:J1008)</f>
        <v>4100000</v>
      </c>
      <c r="K1677" s="578">
        <f>SUMIF(G8:G1012,"472700",K8:K1012)</f>
        <v>469000</v>
      </c>
    </row>
    <row r="1678" spans="8:11" ht="15">
      <c r="H1678" s="507">
        <v>4728</v>
      </c>
      <c r="I1678" s="581">
        <f>SUMIF(G8:G1008,"472800",I8:I1012)</f>
        <v>0</v>
      </c>
      <c r="J1678" s="581">
        <f>SUMIF(G8:G1008,"472800",J8:J1008)</f>
        <v>0</v>
      </c>
      <c r="K1678" s="578">
        <f>SUMIF(G8:G1012,"472800",K8:K1012)</f>
        <v>0</v>
      </c>
    </row>
    <row r="1679" spans="8:11" ht="15.75" thickBot="1">
      <c r="H1679" s="508">
        <v>4729</v>
      </c>
      <c r="I1679" s="582">
        <f>SUMIF(G8:G1008,"472900",I8:I1012)</f>
        <v>120000</v>
      </c>
      <c r="J1679" s="582">
        <f>SUMIF(G8:G1008,"472900",J8:J1008)</f>
        <v>120000</v>
      </c>
      <c r="K1679" s="576">
        <f>SUMIF(G8:G1012,"472900",K8:K1012)</f>
        <v>0</v>
      </c>
    </row>
    <row r="1680" spans="8:13" ht="15.75" thickBot="1">
      <c r="H1680" s="504">
        <v>4819</v>
      </c>
      <c r="I1680" s="579">
        <f>SUMIF(G8:G1008,"481900",I8:I1012)</f>
        <v>42028000</v>
      </c>
      <c r="J1680" s="844">
        <f>SUMIF(G8:G1008,"481900",J8:J1008)</f>
        <v>44505804.42</v>
      </c>
      <c r="K1680" s="505">
        <f>SUMIF(G8:G1012,"481900",K8:K1012)</f>
        <v>27419760.889999997</v>
      </c>
      <c r="L1680" s="518">
        <f>I1680-J1680</f>
        <v>-2477804.420000002</v>
      </c>
      <c r="M1680" s="515"/>
    </row>
    <row r="1681" spans="8:11" ht="15">
      <c r="H1681" s="506">
        <v>4821</v>
      </c>
      <c r="I1681" s="580">
        <f>SUMIF(G8:G1008,"482100",I8:I1012)</f>
        <v>200000</v>
      </c>
      <c r="J1681" s="580">
        <f>SUMIF(G8:G1008,"482100",J8:J1008)</f>
        <v>200000</v>
      </c>
      <c r="K1681" s="577">
        <f>SUMIF(G8:G1012,"482100",K8:K1012)</f>
        <v>0</v>
      </c>
    </row>
    <row r="1682" spans="8:11" ht="15">
      <c r="H1682" s="507">
        <v>4822</v>
      </c>
      <c r="I1682" s="581">
        <f>SUMIF(G8:G1008,"482200",I8:I1012)</f>
        <v>455000</v>
      </c>
      <c r="J1682" s="581">
        <f>SUMIF(G8:G1008,"482200",J8:J1008)</f>
        <v>455000</v>
      </c>
      <c r="K1682" s="578">
        <f>SUMIF(G8:G1012,"482200",K8:K1012)</f>
        <v>53831</v>
      </c>
    </row>
    <row r="1683" spans="8:11" ht="15.75" thickBot="1">
      <c r="H1683" s="508">
        <v>4823</v>
      </c>
      <c r="I1683" s="582">
        <f>SUMIF(G8:G1008,"482300",I8:I1012)</f>
        <v>250000</v>
      </c>
      <c r="J1683" s="582">
        <f>SUMIF(G8:G1008,"482300",J8:J1008)</f>
        <v>250000</v>
      </c>
      <c r="K1683" s="576">
        <f>SUMIF(G8:G1012,"482300",K8:K1012)</f>
        <v>0</v>
      </c>
    </row>
    <row r="1684" spans="8:11" ht="15.75" thickBot="1">
      <c r="H1684" s="504">
        <v>4831</v>
      </c>
      <c r="I1684" s="579">
        <f>SUMIF(G8:G1008,"483100",I8:I1012)</f>
        <v>15000000</v>
      </c>
      <c r="J1684" s="844">
        <f>SUMIF(G8:G1008,"483100",J8:J1008)</f>
        <v>14895000</v>
      </c>
      <c r="K1684" s="505">
        <f>SUMIF(G8:G1012,"483100",K8:K1012)</f>
        <v>10450766.92</v>
      </c>
    </row>
    <row r="1685" spans="8:11" ht="15.75" thickBot="1">
      <c r="H1685" s="504">
        <v>4841</v>
      </c>
      <c r="I1685" s="579">
        <f>SUMIF(G8:G1008,"484100",I8:I1012)</f>
        <v>50000</v>
      </c>
      <c r="J1685" s="844">
        <f>SUMIF(G8:G1008,"484100",J8:J1008)</f>
        <v>4600766.92</v>
      </c>
      <c r="K1685" s="505">
        <f>SUMIF(G8:G1012,"484100",K8:K1012)</f>
        <v>4553316.92</v>
      </c>
    </row>
    <row r="1686" spans="8:13" ht="15.75" thickBot="1">
      <c r="H1686" s="504">
        <v>4991</v>
      </c>
      <c r="I1686" s="579">
        <f>SUMIF(G8:G1008,"499100",I8:I1012)</f>
        <v>20000000</v>
      </c>
      <c r="J1686" s="844">
        <f>SUMIF(G8:G1009,"499100",J8:J1009)</f>
        <v>9280793.66</v>
      </c>
      <c r="K1686" s="505">
        <f>SUMIF(G8:G1012,"499100",K8:K1012)</f>
        <v>0</v>
      </c>
      <c r="L1686" s="518">
        <f>I1686-J1686</f>
        <v>10719206.34</v>
      </c>
      <c r="M1686" s="518"/>
    </row>
    <row r="1687" spans="8:11" ht="15">
      <c r="H1687" s="506">
        <v>5111</v>
      </c>
      <c r="I1687" s="580">
        <f>SUMIF(G8:G1008,"511100",I8:I1012)</f>
        <v>0</v>
      </c>
      <c r="J1687" s="580">
        <f>SUMIF(G8:G1008,"511100",J8:J1008)</f>
        <v>0</v>
      </c>
      <c r="K1687" s="577">
        <f>SUMIF(G8:G1012,"511100",K8:K1012)</f>
        <v>0</v>
      </c>
    </row>
    <row r="1688" spans="8:11" ht="15">
      <c r="H1688" s="507">
        <v>5112</v>
      </c>
      <c r="I1688" s="581">
        <f>SUMIF(G8:G1008,"511200",I8:I1012)</f>
        <v>24790000</v>
      </c>
      <c r="J1688" s="581">
        <f>SUMIF(G8:G1008,"511200",J8:J1008)</f>
        <v>24790000</v>
      </c>
      <c r="K1688" s="578">
        <f>SUMIF(G8:G1012,"511200",K8:K1012)</f>
        <v>4756278.99</v>
      </c>
    </row>
    <row r="1689" spans="8:11" ht="15">
      <c r="H1689" s="507">
        <v>5113</v>
      </c>
      <c r="I1689" s="581">
        <f>SUMIF(G8:G1008,"511300",I8:I1012)</f>
        <v>124500000</v>
      </c>
      <c r="J1689" s="845">
        <f>SUMIF(G8:G1008,"511300",J8:J1008)</f>
        <v>119500000</v>
      </c>
      <c r="K1689" s="578">
        <f>SUMIF(G8:G1012,"511300",K8:K1012)</f>
        <v>7069668.96</v>
      </c>
    </row>
    <row r="1690" spans="8:11" ht="15.75" thickBot="1">
      <c r="H1690" s="507">
        <v>5114</v>
      </c>
      <c r="I1690" s="582">
        <f>SUMIF(G8:G1008,"511400",I8:I1012)</f>
        <v>8500000</v>
      </c>
      <c r="J1690" s="582">
        <f>SUMIF(G8:G1008,"511400",J8:J1008)</f>
        <v>8500000</v>
      </c>
      <c r="K1690" s="576">
        <f>SUMIF(G8:G1012,"511400",K8:K1012)</f>
        <v>721050</v>
      </c>
    </row>
    <row r="1691" spans="8:11" ht="15">
      <c r="H1691" s="506">
        <v>5121</v>
      </c>
      <c r="I1691" s="580">
        <f>SUMIF(G8:G1008,"512100",I8:I1012)</f>
        <v>200000</v>
      </c>
      <c r="J1691" s="580">
        <f>SUMIF(G8:G1008,"512100",J8:J1008)</f>
        <v>200000</v>
      </c>
      <c r="K1691" s="577">
        <f>SUMIF(G8:G1012,"512100",K8:K1012)</f>
        <v>109710</v>
      </c>
    </row>
    <row r="1692" spans="8:11" ht="15">
      <c r="H1692" s="507">
        <v>5122</v>
      </c>
      <c r="I1692" s="581">
        <f>SUMIF(G8:G1008,"512200",I8:I1012)</f>
        <v>4300000</v>
      </c>
      <c r="J1692" s="581">
        <f>SUMIF(G8:G1008,"512200",J8:J1008)</f>
        <v>4300000</v>
      </c>
      <c r="K1692" s="578">
        <f>SUMIF(G8:G1012,"512200",K8:K1012)</f>
        <v>1135298.2</v>
      </c>
    </row>
    <row r="1693" spans="8:11" ht="15">
      <c r="H1693" s="507">
        <v>5126</v>
      </c>
      <c r="I1693" s="581">
        <f>SUMIF(G8:G1008,"512600",I8:I1012)</f>
        <v>610000</v>
      </c>
      <c r="J1693" s="581">
        <f>SUMIF(G8:G1008,"512600",J8:J1008)</f>
        <v>610000</v>
      </c>
      <c r="K1693" s="578">
        <f>SUMIF(G8:G1012,"512600",K8:K1012)</f>
        <v>0</v>
      </c>
    </row>
    <row r="1694" spans="8:11" ht="15.75" thickBot="1">
      <c r="H1694" s="508">
        <v>5124</v>
      </c>
      <c r="I1694" s="582">
        <f>SUMIF(G8:G1008,"512400",I8:I1012)</f>
        <v>0</v>
      </c>
      <c r="J1694" s="582">
        <f>SUMIF(G8:G1008,"512400",J8:J1008)</f>
        <v>0</v>
      </c>
      <c r="K1694" s="576">
        <f>SUMIF(G8:G1012,"512400",K8:K1012)</f>
        <v>0</v>
      </c>
    </row>
    <row r="1695" spans="8:11" ht="15.75" thickBot="1">
      <c r="H1695" s="508">
        <v>5129</v>
      </c>
      <c r="I1695" s="582">
        <f>SUMIF(G9:G1009,"512900",I9:I1013)</f>
        <v>0</v>
      </c>
      <c r="J1695" s="845">
        <f>SUMIF(G10:G1009,"512900",J10:J1009)</f>
        <v>6418440</v>
      </c>
      <c r="K1695" s="505">
        <f>SUMIF(G8:G1012,"512900",K8:K1012)</f>
        <v>2825126.88</v>
      </c>
    </row>
    <row r="1696" spans="8:11" ht="15.75" thickBot="1">
      <c r="H1696" s="508">
        <v>5131</v>
      </c>
      <c r="I1696" s="579">
        <f>SUMIF(G8:G1008,"513100",I8:I1012)</f>
        <v>0</v>
      </c>
      <c r="J1696" s="579">
        <f>SUMIF(G8:G1008,"513100",J8:J1008)</f>
        <v>0</v>
      </c>
      <c r="K1696" s="505">
        <f>SUMIF(G8:G1012,"513100",K8:K1012)</f>
        <v>0</v>
      </c>
    </row>
    <row r="1697" spans="8:11" ht="15.75" thickBot="1">
      <c r="H1697" s="508">
        <v>5141</v>
      </c>
      <c r="I1697" s="579">
        <f>SUMIF(G8:G1008,"514100",I8:I1012)</f>
        <v>0</v>
      </c>
      <c r="J1697" s="579">
        <f>SUMIF(G8:G1008,"514100",J8:J1008)</f>
        <v>0</v>
      </c>
      <c r="K1697" s="505">
        <f>SUMIF(G8:G1012,"514100",K8:K1012)</f>
        <v>0</v>
      </c>
    </row>
    <row r="1698" spans="8:11" ht="15.75" thickBot="1">
      <c r="H1698" s="508">
        <v>5151</v>
      </c>
      <c r="I1698" s="579">
        <f>SUMIF(G8:G1008,"515100",I8:I1012)</f>
        <v>610000</v>
      </c>
      <c r="J1698" s="579">
        <f>SUMIF(G8:G1008,"515100",J8:J1008)</f>
        <v>610000</v>
      </c>
      <c r="K1698" s="505">
        <f>SUMIF(G8:G1012,"515100",K8:K1012)</f>
        <v>87701.8</v>
      </c>
    </row>
    <row r="1699" spans="8:11" ht="15.75" thickBot="1">
      <c r="H1699" s="508">
        <v>5411</v>
      </c>
      <c r="I1699" s="579">
        <f>SUMIF(G8:G1008,"541100",I8:I1012)</f>
        <v>46000000</v>
      </c>
      <c r="J1699" s="844">
        <f>SUMIF(G8:G1008,"541100",J8:J1008)</f>
        <v>46600000</v>
      </c>
      <c r="K1699" s="505">
        <f>SUMIF(G8:G1012,"541100",K8:K1012)</f>
        <v>0</v>
      </c>
    </row>
    <row r="1700" spans="8:11" ht="15.75" thickBot="1">
      <c r="H1700" s="506">
        <v>6114</v>
      </c>
      <c r="I1700" s="580">
        <f>SUMIF(G8:G1008,"611400",I8:I1012)</f>
        <v>35000000</v>
      </c>
      <c r="J1700" s="846">
        <f>SUMIF(G8:G1008,"611400",J8:J1008)</f>
        <v>33250000</v>
      </c>
      <c r="K1700" s="577">
        <f>SUMIF(G8:G1012,"611400",K8:K1012)</f>
        <v>17552357.92</v>
      </c>
    </row>
    <row r="1701" spans="8:11" ht="15.75" thickBot="1">
      <c r="H1701" s="504">
        <v>6219</v>
      </c>
      <c r="I1701" s="602">
        <f>SUMIF(G9:G1009,"621900",I9:I1013)</f>
        <v>0</v>
      </c>
      <c r="J1701" s="602">
        <f>SUMIF(G9:G1009,"621900",J9:J1009)</f>
        <v>0</v>
      </c>
      <c r="K1701" s="577">
        <f>SUMIF(G9:G1013,"621900",K9:K1013)</f>
        <v>0</v>
      </c>
    </row>
    <row r="1702" spans="8:12" ht="15.75" thickBot="1">
      <c r="H1702" s="499"/>
      <c r="I1702" s="599">
        <f>SUM(I1605:I1701)</f>
        <v>1542006634</v>
      </c>
      <c r="J1702" s="599">
        <f>SUM(J1605:J1701)</f>
        <v>1542256634.0000002</v>
      </c>
      <c r="K1702" s="600">
        <f>SUM(K1605:K1701)</f>
        <v>539969445.7499998</v>
      </c>
      <c r="L1702" s="614">
        <f>I1702-J1702</f>
        <v>-250000.00000023842</v>
      </c>
    </row>
    <row r="1703" spans="8:11" ht="15">
      <c r="H1703" s="499"/>
      <c r="I1703" s="500"/>
      <c r="J1703" s="500"/>
      <c r="K1703" s="501"/>
    </row>
    <row r="1705" spans="10:11" ht="12.75">
      <c r="J1705" s="514"/>
      <c r="K1705" s="514"/>
    </row>
    <row r="1707" spans="8:12" ht="12.75">
      <c r="H1707" s="518"/>
      <c r="I1707"/>
      <c r="L1707"/>
    </row>
    <row r="1708" spans="8:12" ht="12.75">
      <c r="H1708" s="518"/>
      <c r="I1708"/>
      <c r="L1708"/>
    </row>
    <row r="1709" spans="8:12" ht="12.75">
      <c r="H1709" s="518"/>
      <c r="I1709"/>
      <c r="L1709"/>
    </row>
    <row r="1710" spans="8:12" ht="12.75">
      <c r="H1710" s="518"/>
      <c r="I1710"/>
      <c r="L1710"/>
    </row>
    <row r="1711" spans="8:12" ht="12.75">
      <c r="H1711" s="518"/>
      <c r="I1711"/>
      <c r="L1711"/>
    </row>
    <row r="1712" spans="8:12" ht="12.75">
      <c r="H1712" s="518"/>
      <c r="I1712"/>
      <c r="L1712"/>
    </row>
    <row r="1713" spans="8:12" ht="12.75">
      <c r="H1713" s="518"/>
      <c r="I1713"/>
      <c r="L1713"/>
    </row>
    <row r="1714" spans="8:12" ht="12.75">
      <c r="H1714" s="518"/>
      <c r="I1714"/>
      <c r="L1714"/>
    </row>
    <row r="1715" spans="8:12" ht="12.75">
      <c r="H1715" s="518"/>
      <c r="I1715"/>
      <c r="L1715"/>
    </row>
    <row r="1716" spans="8:12" ht="12.75">
      <c r="H1716" s="518"/>
      <c r="I1716"/>
      <c r="L1716"/>
    </row>
    <row r="1717" spans="8:12" ht="12.75">
      <c r="H1717" s="518"/>
      <c r="I1717"/>
      <c r="L1717"/>
    </row>
    <row r="1718" spans="8:12" ht="12.75">
      <c r="H1718" s="518"/>
      <c r="I1718"/>
      <c r="L1718"/>
    </row>
    <row r="1719" spans="8:12" ht="12.75">
      <c r="H1719" s="518"/>
      <c r="I1719"/>
      <c r="L1719"/>
    </row>
    <row r="1720" spans="8:12" ht="12.75">
      <c r="H1720" s="518"/>
      <c r="I1720"/>
      <c r="L1720"/>
    </row>
    <row r="1721" spans="8:12" ht="12.75">
      <c r="H1721" s="518"/>
      <c r="I1721"/>
      <c r="L1721"/>
    </row>
    <row r="1722" spans="8:12" ht="12.75">
      <c r="H1722" s="518"/>
      <c r="I1722"/>
      <c r="L1722"/>
    </row>
    <row r="1723" spans="8:12" ht="12.75">
      <c r="H1723" s="518"/>
      <c r="I1723"/>
      <c r="L1723"/>
    </row>
    <row r="1724" spans="8:12" ht="12.75">
      <c r="H1724" s="518"/>
      <c r="I1724"/>
      <c r="L1724"/>
    </row>
    <row r="1725" spans="8:12" ht="12.75">
      <c r="H1725" s="518"/>
      <c r="I1725"/>
      <c r="L1725"/>
    </row>
    <row r="1726" spans="8:12" ht="12.75">
      <c r="H1726" s="518"/>
      <c r="I1726"/>
      <c r="L1726"/>
    </row>
    <row r="1727" spans="8:12" ht="12.75">
      <c r="H1727" s="518"/>
      <c r="I1727"/>
      <c r="L1727"/>
    </row>
    <row r="1728" spans="8:12" ht="12.75">
      <c r="H1728" s="518"/>
      <c r="I1728"/>
      <c r="L1728"/>
    </row>
    <row r="1729" spans="8:12" ht="12.75">
      <c r="H1729" s="518"/>
      <c r="I1729"/>
      <c r="L1729"/>
    </row>
    <row r="1730" spans="8:12" ht="12.75">
      <c r="H1730" s="518"/>
      <c r="I1730"/>
      <c r="L1730"/>
    </row>
    <row r="1731" spans="8:12" ht="12.75">
      <c r="H1731" s="518"/>
      <c r="I1731"/>
      <c r="L1731"/>
    </row>
    <row r="1732" spans="8:12" ht="12.75">
      <c r="H1732" s="518"/>
      <c r="I1732"/>
      <c r="L1732"/>
    </row>
    <row r="1733" spans="8:12" ht="12.75">
      <c r="H1733" s="518"/>
      <c r="I1733"/>
      <c r="L1733"/>
    </row>
    <row r="1734" spans="8:12" ht="12.75">
      <c r="H1734" s="518"/>
      <c r="I1734"/>
      <c r="L1734"/>
    </row>
    <row r="1735" spans="8:12" ht="12.75">
      <c r="H1735" s="518"/>
      <c r="I1735"/>
      <c r="L1735"/>
    </row>
    <row r="1736" spans="8:12" ht="12.75">
      <c r="H1736" s="518"/>
      <c r="I1736"/>
      <c r="L1736"/>
    </row>
    <row r="1737" spans="8:12" ht="12.75">
      <c r="H1737" s="518"/>
      <c r="I1737"/>
      <c r="L1737"/>
    </row>
    <row r="1738" spans="8:12" ht="12.75">
      <c r="H1738" s="518"/>
      <c r="I1738"/>
      <c r="L1738"/>
    </row>
    <row r="1739" spans="8:12" ht="12.75">
      <c r="H1739" s="518"/>
      <c r="I1739"/>
      <c r="L1739"/>
    </row>
    <row r="1740" spans="8:12" ht="12.75">
      <c r="H1740" s="518"/>
      <c r="I1740"/>
      <c r="L1740"/>
    </row>
    <row r="1741" spans="8:12" ht="12.75">
      <c r="H1741" s="518"/>
      <c r="I1741"/>
      <c r="L1741"/>
    </row>
    <row r="1742" spans="8:12" ht="12.75">
      <c r="H1742" s="518"/>
      <c r="I1742"/>
      <c r="L1742"/>
    </row>
    <row r="1743" spans="8:12" ht="12.75">
      <c r="H1743" s="518"/>
      <c r="I1743"/>
      <c r="L1743"/>
    </row>
    <row r="1744" spans="8:12" ht="12.75">
      <c r="H1744" s="518"/>
      <c r="I1744"/>
      <c r="L1744"/>
    </row>
    <row r="1745" spans="8:12" ht="12.75">
      <c r="H1745" s="518"/>
      <c r="I1745"/>
      <c r="L1745"/>
    </row>
    <row r="1746" spans="8:12" ht="12.75">
      <c r="H1746" s="518"/>
      <c r="I1746"/>
      <c r="L1746"/>
    </row>
    <row r="1747" spans="8:12" ht="12.75">
      <c r="H1747" s="518"/>
      <c r="I1747"/>
      <c r="L1747"/>
    </row>
    <row r="1748" spans="8:12" ht="12.75">
      <c r="H1748" s="518"/>
      <c r="I1748"/>
      <c r="L1748"/>
    </row>
    <row r="1749" spans="8:12" ht="12.75">
      <c r="H1749" s="518"/>
      <c r="I1749"/>
      <c r="L1749"/>
    </row>
    <row r="1750" spans="8:12" ht="12.75">
      <c r="H1750" s="518"/>
      <c r="I1750"/>
      <c r="L1750"/>
    </row>
    <row r="1751" spans="8:12" ht="12.75">
      <c r="H1751" s="518"/>
      <c r="I1751"/>
      <c r="L1751"/>
    </row>
    <row r="1752" spans="8:12" ht="12.75">
      <c r="H1752" s="518"/>
      <c r="I1752"/>
      <c r="L1752"/>
    </row>
    <row r="1753" spans="8:12" ht="12.75">
      <c r="H1753" s="518"/>
      <c r="I1753"/>
      <c r="L1753"/>
    </row>
    <row r="1754" spans="8:12" ht="12.75">
      <c r="H1754" s="518"/>
      <c r="I1754"/>
      <c r="L1754"/>
    </row>
    <row r="1755" spans="8:12" ht="12.75">
      <c r="H1755" s="518"/>
      <c r="I1755"/>
      <c r="L1755"/>
    </row>
    <row r="1756" spans="8:12" ht="12.75">
      <c r="H1756" s="518"/>
      <c r="I1756"/>
      <c r="L1756"/>
    </row>
    <row r="1757" spans="8:12" ht="12.75">
      <c r="H1757" s="518"/>
      <c r="I1757"/>
      <c r="L1757"/>
    </row>
    <row r="1758" spans="8:12" ht="12.75">
      <c r="H1758" s="518"/>
      <c r="I1758"/>
      <c r="L1758"/>
    </row>
    <row r="1759" spans="8:12" ht="12.75">
      <c r="H1759" s="518"/>
      <c r="I1759"/>
      <c r="L1759"/>
    </row>
    <row r="1760" spans="8:12" ht="12.75">
      <c r="H1760" s="518"/>
      <c r="I1760"/>
      <c r="L1760"/>
    </row>
    <row r="1761" spans="8:12" ht="12.75">
      <c r="H1761" s="518"/>
      <c r="I1761"/>
      <c r="L1761"/>
    </row>
    <row r="1762" spans="8:12" ht="12.75">
      <c r="H1762" s="518"/>
      <c r="I1762"/>
      <c r="L1762"/>
    </row>
    <row r="1763" spans="8:12" ht="12.75">
      <c r="H1763" s="518"/>
      <c r="I1763"/>
      <c r="L1763"/>
    </row>
    <row r="1764" spans="8:12" ht="12.75">
      <c r="H1764" s="518"/>
      <c r="I1764"/>
      <c r="L1764"/>
    </row>
    <row r="1765" spans="8:12" ht="12.75">
      <c r="H1765" s="518"/>
      <c r="I1765"/>
      <c r="L1765"/>
    </row>
    <row r="1766" spans="8:12" ht="12.75">
      <c r="H1766" s="518"/>
      <c r="I1766"/>
      <c r="L1766"/>
    </row>
    <row r="1767" spans="8:12" ht="12.75">
      <c r="H1767" s="518"/>
      <c r="I1767"/>
      <c r="L1767"/>
    </row>
    <row r="1768" spans="8:12" ht="12.75">
      <c r="H1768" s="518"/>
      <c r="I1768"/>
      <c r="L1768"/>
    </row>
    <row r="1769" spans="8:12" ht="12.75">
      <c r="H1769" s="518"/>
      <c r="I1769"/>
      <c r="L1769"/>
    </row>
    <row r="1770" spans="8:12" ht="12.75">
      <c r="H1770" s="518"/>
      <c r="I1770"/>
      <c r="L1770"/>
    </row>
    <row r="1771" spans="8:12" ht="12.75">
      <c r="H1771" s="518"/>
      <c r="I1771"/>
      <c r="L1771"/>
    </row>
    <row r="1772" spans="8:12" ht="12.75">
      <c r="H1772" s="518"/>
      <c r="I1772"/>
      <c r="L1772"/>
    </row>
    <row r="1773" spans="8:12" ht="12.75">
      <c r="H1773" s="518"/>
      <c r="I1773"/>
      <c r="L1773"/>
    </row>
    <row r="1774" spans="8:12" ht="12.75">
      <c r="H1774" s="518"/>
      <c r="I1774"/>
      <c r="L1774"/>
    </row>
    <row r="1775" spans="8:12" ht="12.75">
      <c r="H1775" s="518"/>
      <c r="I1775"/>
      <c r="L1775"/>
    </row>
    <row r="1776" spans="8:12" ht="12.75">
      <c r="H1776" s="518"/>
      <c r="I1776"/>
      <c r="L1776"/>
    </row>
    <row r="1777" spans="8:12" ht="12.75">
      <c r="H1777" s="518"/>
      <c r="I1777"/>
      <c r="L1777"/>
    </row>
    <row r="1778" spans="8:12" ht="12.75">
      <c r="H1778" s="518"/>
      <c r="I1778"/>
      <c r="L1778"/>
    </row>
    <row r="1779" spans="8:12" ht="12.75">
      <c r="H1779" s="518"/>
      <c r="I1779"/>
      <c r="L1779"/>
    </row>
    <row r="1780" spans="8:12" ht="12.75">
      <c r="H1780" s="518"/>
      <c r="I1780"/>
      <c r="L1780"/>
    </row>
    <row r="1781" spans="8:12" ht="12.75">
      <c r="H1781" s="518"/>
      <c r="I1781"/>
      <c r="L1781"/>
    </row>
    <row r="1782" spans="8:12" ht="12.75">
      <c r="H1782" s="518"/>
      <c r="I1782"/>
      <c r="L1782"/>
    </row>
    <row r="1783" spans="8:12" ht="12.75">
      <c r="H1783" s="518"/>
      <c r="I1783"/>
      <c r="L1783"/>
    </row>
    <row r="1784" spans="8:12" ht="12.75">
      <c r="H1784" s="518"/>
      <c r="I1784"/>
      <c r="L1784"/>
    </row>
    <row r="1785" spans="8:12" ht="12.75">
      <c r="H1785" s="518"/>
      <c r="I1785"/>
      <c r="L1785"/>
    </row>
    <row r="1786" spans="8:12" ht="12.75">
      <c r="H1786" s="518"/>
      <c r="I1786"/>
      <c r="L1786"/>
    </row>
    <row r="1787" spans="8:12" ht="12.75">
      <c r="H1787" s="518"/>
      <c r="I1787"/>
      <c r="L1787"/>
    </row>
    <row r="1788" spans="8:12" ht="12.75">
      <c r="H1788" s="518"/>
      <c r="I1788"/>
      <c r="L1788"/>
    </row>
    <row r="1789" spans="8:12" ht="12.75">
      <c r="H1789" s="518"/>
      <c r="I1789"/>
      <c r="L1789"/>
    </row>
    <row r="1790" spans="8:12" ht="12.75">
      <c r="H1790" s="518"/>
      <c r="I1790"/>
      <c r="L1790"/>
    </row>
    <row r="1791" spans="8:12" ht="12.75">
      <c r="H1791" s="518"/>
      <c r="I1791"/>
      <c r="L1791"/>
    </row>
    <row r="1792" spans="8:12" ht="12.75">
      <c r="H1792" s="518"/>
      <c r="I1792"/>
      <c r="L1792"/>
    </row>
    <row r="1793" spans="8:12" ht="12.75">
      <c r="H1793" s="518"/>
      <c r="I1793"/>
      <c r="L1793"/>
    </row>
    <row r="1794" spans="8:12" ht="12.75">
      <c r="H1794" s="518"/>
      <c r="I1794"/>
      <c r="L1794"/>
    </row>
    <row r="1795" spans="8:12" ht="12.75">
      <c r="H1795" s="518"/>
      <c r="I1795"/>
      <c r="L1795"/>
    </row>
    <row r="1796" spans="8:12" ht="12.75">
      <c r="H1796" s="518"/>
      <c r="I1796"/>
      <c r="L1796"/>
    </row>
    <row r="1797" spans="8:12" ht="12.75">
      <c r="H1797" s="518"/>
      <c r="I1797"/>
      <c r="L1797"/>
    </row>
    <row r="1798" spans="8:12" ht="12.75">
      <c r="H1798" s="518"/>
      <c r="I1798"/>
      <c r="L1798"/>
    </row>
    <row r="1799" spans="8:12" ht="12.75">
      <c r="H1799" s="518"/>
      <c r="I1799"/>
      <c r="L1799"/>
    </row>
    <row r="1800" spans="8:12" ht="12.75">
      <c r="H1800" s="518"/>
      <c r="I1800"/>
      <c r="L1800"/>
    </row>
    <row r="1801" spans="8:12" ht="12.75">
      <c r="H1801" s="518"/>
      <c r="I1801"/>
      <c r="L1801"/>
    </row>
    <row r="1802" spans="8:12" ht="12.75">
      <c r="H1802" s="518"/>
      <c r="I1802"/>
      <c r="L1802"/>
    </row>
    <row r="1803" spans="8:12" ht="12.75">
      <c r="H1803" s="518"/>
      <c r="I1803"/>
      <c r="L1803"/>
    </row>
    <row r="1804" spans="8:12" ht="12.75">
      <c r="H1804" s="518"/>
      <c r="I1804"/>
      <c r="L1804"/>
    </row>
    <row r="1805" spans="8:12" ht="12.75">
      <c r="H1805" s="518"/>
      <c r="I1805"/>
      <c r="L1805"/>
    </row>
    <row r="1806" spans="8:12" ht="12.75">
      <c r="H1806" s="518"/>
      <c r="I1806"/>
      <c r="L1806"/>
    </row>
    <row r="1807" spans="8:12" ht="12.75">
      <c r="H1807" s="518"/>
      <c r="I1807"/>
      <c r="L1807"/>
    </row>
    <row r="1808" spans="8:12" ht="12.75">
      <c r="H1808" s="518"/>
      <c r="I1808"/>
      <c r="L1808"/>
    </row>
    <row r="1809" spans="8:12" ht="12.75">
      <c r="H1809" s="518"/>
      <c r="I1809"/>
      <c r="L1809"/>
    </row>
    <row r="1810" spans="8:12" ht="12.75">
      <c r="H1810" s="518"/>
      <c r="I1810"/>
      <c r="L1810"/>
    </row>
    <row r="1811" spans="8:12" ht="12.75">
      <c r="H1811" s="518"/>
      <c r="I1811"/>
      <c r="L1811"/>
    </row>
    <row r="1812" spans="8:12" ht="12.75">
      <c r="H1812" s="518"/>
      <c r="I1812"/>
      <c r="L1812"/>
    </row>
    <row r="1813" spans="8:12" ht="12.75">
      <c r="H1813" s="518"/>
      <c r="I1813"/>
      <c r="L1813"/>
    </row>
    <row r="1814" spans="8:12" ht="12.75">
      <c r="H1814" s="518"/>
      <c r="I1814"/>
      <c r="L1814"/>
    </row>
    <row r="1815" spans="8:12" ht="12.75">
      <c r="H1815" s="518"/>
      <c r="I1815"/>
      <c r="L1815"/>
    </row>
    <row r="1816" spans="8:12" ht="12.75">
      <c r="H1816" s="518"/>
      <c r="I1816"/>
      <c r="L1816"/>
    </row>
    <row r="1817" spans="8:12" ht="12.75">
      <c r="H1817" s="518"/>
      <c r="I1817"/>
      <c r="L1817"/>
    </row>
    <row r="1818" spans="8:12" ht="12.75">
      <c r="H1818" s="518"/>
      <c r="I1818"/>
      <c r="L1818"/>
    </row>
    <row r="1819" spans="8:12" ht="12.75">
      <c r="H1819" s="518"/>
      <c r="I1819"/>
      <c r="L1819"/>
    </row>
    <row r="1820" spans="8:12" ht="12.75">
      <c r="H1820" s="518"/>
      <c r="I1820"/>
      <c r="L1820"/>
    </row>
    <row r="1821" spans="8:12" ht="12.75">
      <c r="H1821" s="518"/>
      <c r="I1821"/>
      <c r="L1821"/>
    </row>
    <row r="1822" spans="8:12" ht="12.75">
      <c r="H1822" s="518"/>
      <c r="I1822"/>
      <c r="L1822"/>
    </row>
    <row r="1823" spans="8:12" ht="12.75">
      <c r="H1823" s="518"/>
      <c r="I1823"/>
      <c r="L1823"/>
    </row>
    <row r="1824" spans="8:12" ht="12.75">
      <c r="H1824" s="518"/>
      <c r="I1824"/>
      <c r="L1824"/>
    </row>
    <row r="1825" spans="8:12" ht="12.75">
      <c r="H1825" s="518"/>
      <c r="I1825"/>
      <c r="L1825"/>
    </row>
    <row r="1826" spans="8:12" ht="12.75">
      <c r="H1826" s="518"/>
      <c r="I1826"/>
      <c r="L1826"/>
    </row>
    <row r="1827" spans="8:12" ht="12.75">
      <c r="H1827" s="518"/>
      <c r="I1827"/>
      <c r="L1827"/>
    </row>
    <row r="1828" spans="8:12" ht="12.75">
      <c r="H1828" s="518"/>
      <c r="I1828"/>
      <c r="L1828"/>
    </row>
    <row r="1829" spans="8:12" ht="12.75">
      <c r="H1829" s="518"/>
      <c r="I1829"/>
      <c r="L1829"/>
    </row>
    <row r="1830" spans="8:12" ht="12.75">
      <c r="H1830" s="518"/>
      <c r="I1830"/>
      <c r="L1830"/>
    </row>
    <row r="1831" spans="8:12" ht="12.75">
      <c r="H1831" s="518"/>
      <c r="I1831"/>
      <c r="L1831"/>
    </row>
    <row r="1832" spans="8:12" ht="12.75">
      <c r="H1832" s="518"/>
      <c r="I1832"/>
      <c r="L1832"/>
    </row>
    <row r="1833" spans="8:12" ht="13.5" thickBot="1">
      <c r="H1833" s="518"/>
      <c r="I1833"/>
      <c r="L1833"/>
    </row>
    <row r="1834" spans="8:12" ht="15.75" thickBot="1">
      <c r="H1834" s="579"/>
      <c r="I1834" s="579"/>
      <c r="J1834" s="505"/>
      <c r="L1834"/>
    </row>
    <row r="1835" spans="8:12" ht="15">
      <c r="H1835" s="580"/>
      <c r="I1835" s="580"/>
      <c r="J1835" s="577"/>
      <c r="L1835"/>
    </row>
    <row r="1836" spans="11:14" ht="15">
      <c r="K1836" s="507"/>
      <c r="L1836" s="581"/>
      <c r="M1836" s="581"/>
      <c r="N1836" s="578"/>
    </row>
    <row r="1837" spans="11:14" ht="15.75" thickBot="1">
      <c r="K1837" s="508"/>
      <c r="L1837" s="582"/>
      <c r="M1837" s="582"/>
      <c r="N1837" s="576"/>
    </row>
    <row r="1838" spans="11:14" ht="15.75" thickBot="1">
      <c r="K1838" s="504"/>
      <c r="L1838" s="579"/>
      <c r="M1838" s="579"/>
      <c r="N1838" s="505"/>
    </row>
    <row r="1839" spans="11:14" ht="15">
      <c r="K1839" s="506"/>
      <c r="L1839" s="580"/>
      <c r="M1839" s="580"/>
      <c r="N1839" s="577"/>
    </row>
    <row r="1840" spans="11:14" ht="15">
      <c r="K1840" s="507"/>
      <c r="L1840" s="581"/>
      <c r="M1840" s="581"/>
      <c r="N1840" s="578"/>
    </row>
    <row r="1841" spans="11:14" ht="15.75" thickBot="1">
      <c r="K1841" s="508"/>
      <c r="L1841" s="582"/>
      <c r="M1841" s="582"/>
      <c r="N1841" s="576"/>
    </row>
    <row r="1842" spans="11:14" ht="15.75" thickBot="1">
      <c r="K1842" s="504"/>
      <c r="L1842" s="579"/>
      <c r="M1842" s="579"/>
      <c r="N1842" s="505"/>
    </row>
    <row r="1843" spans="11:14" ht="15.75" thickBot="1">
      <c r="K1843" s="504"/>
      <c r="L1843" s="579"/>
      <c r="M1843" s="579"/>
      <c r="N1843" s="505"/>
    </row>
    <row r="1844" spans="11:14" ht="15.75" thickBot="1">
      <c r="K1844" s="504"/>
      <c r="L1844" s="579"/>
      <c r="M1844" s="579"/>
      <c r="N1844" s="505"/>
    </row>
    <row r="1845" spans="11:14" ht="15">
      <c r="K1845" s="506"/>
      <c r="L1845" s="580"/>
      <c r="M1845" s="580"/>
      <c r="N1845" s="577"/>
    </row>
    <row r="1846" spans="11:14" ht="15">
      <c r="K1846" s="507"/>
      <c r="L1846" s="581"/>
      <c r="M1846" s="581"/>
      <c r="N1846" s="578"/>
    </row>
    <row r="1847" spans="11:14" ht="15">
      <c r="K1847" s="507"/>
      <c r="L1847" s="581"/>
      <c r="M1847" s="581"/>
      <c r="N1847" s="578"/>
    </row>
    <row r="1848" spans="11:14" ht="15">
      <c r="K1848" s="507"/>
      <c r="L1848" s="581"/>
      <c r="M1848" s="581"/>
      <c r="N1848" s="578"/>
    </row>
    <row r="1849" spans="11:14" ht="15">
      <c r="K1849" s="507"/>
      <c r="L1849" s="581"/>
      <c r="M1849" s="581"/>
      <c r="N1849" s="578"/>
    </row>
    <row r="1850" spans="11:14" ht="15">
      <c r="K1850" s="507"/>
      <c r="L1850" s="581"/>
      <c r="M1850" s="581"/>
      <c r="N1850" s="578"/>
    </row>
    <row r="1851" spans="11:14" ht="15">
      <c r="K1851" s="507"/>
      <c r="L1851" s="581"/>
      <c r="M1851" s="581"/>
      <c r="N1851" s="578"/>
    </row>
    <row r="1852" spans="11:14" ht="15.75" thickBot="1">
      <c r="K1852" s="508"/>
      <c r="L1852" s="582"/>
      <c r="M1852" s="582"/>
      <c r="N1852" s="576"/>
    </row>
    <row r="1853" spans="11:14" ht="15">
      <c r="K1853" s="506"/>
      <c r="L1853" s="580"/>
      <c r="M1853" s="580"/>
      <c r="N1853" s="577"/>
    </row>
    <row r="1854" spans="11:14" ht="15">
      <c r="K1854" s="507"/>
      <c r="L1854" s="581"/>
      <c r="M1854" s="581"/>
      <c r="N1854" s="578"/>
    </row>
    <row r="1855" spans="11:14" ht="15">
      <c r="K1855" s="507"/>
      <c r="L1855" s="581"/>
      <c r="M1855" s="581"/>
      <c r="N1855" s="578"/>
    </row>
    <row r="1856" spans="11:14" ht="15">
      <c r="K1856" s="507"/>
      <c r="L1856" s="581"/>
      <c r="M1856" s="581"/>
      <c r="N1856" s="578"/>
    </row>
    <row r="1857" spans="11:14" ht="15">
      <c r="K1857" s="507"/>
      <c r="L1857" s="581"/>
      <c r="M1857" s="581"/>
      <c r="N1857" s="578"/>
    </row>
    <row r="1858" spans="11:14" ht="15">
      <c r="K1858" s="507"/>
      <c r="L1858" s="581"/>
      <c r="M1858" s="581"/>
      <c r="N1858" s="578"/>
    </row>
    <row r="1859" spans="11:14" ht="15">
      <c r="K1859" s="507"/>
      <c r="L1859" s="581"/>
      <c r="M1859" s="581"/>
      <c r="N1859" s="578"/>
    </row>
    <row r="1860" spans="11:14" ht="15">
      <c r="K1860" s="507"/>
      <c r="L1860" s="581"/>
      <c r="M1860" s="581"/>
      <c r="N1860" s="578"/>
    </row>
    <row r="1861" spans="11:14" ht="15.75" thickBot="1">
      <c r="K1861" s="508"/>
      <c r="L1861" s="582"/>
      <c r="M1861" s="582"/>
      <c r="N1861" s="576"/>
    </row>
    <row r="1862" spans="11:14" ht="15">
      <c r="K1862" s="506"/>
      <c r="L1862" s="580"/>
      <c r="M1862" s="580"/>
      <c r="N1862" s="577"/>
    </row>
    <row r="1863" spans="11:14" ht="15">
      <c r="K1863" s="507"/>
      <c r="L1863" s="581"/>
      <c r="M1863" s="581"/>
      <c r="N1863" s="578"/>
    </row>
    <row r="1864" spans="11:14" ht="15">
      <c r="K1864" s="507"/>
      <c r="L1864" s="581"/>
      <c r="M1864" s="613"/>
      <c r="N1864" s="578"/>
    </row>
    <row r="1865" spans="11:14" ht="15">
      <c r="K1865" s="507"/>
      <c r="L1865" s="581"/>
      <c r="M1865" s="581"/>
      <c r="N1865" s="578"/>
    </row>
    <row r="1866" spans="11:14" ht="15">
      <c r="K1866" s="507"/>
      <c r="L1866" s="581"/>
      <c r="M1866" s="581"/>
      <c r="N1866" s="578"/>
    </row>
    <row r="1867" spans="11:14" ht="15">
      <c r="K1867" s="507"/>
      <c r="L1867" s="581"/>
      <c r="M1867" s="581"/>
      <c r="N1867" s="578"/>
    </row>
    <row r="1868" spans="11:14" ht="15">
      <c r="K1868" s="507"/>
      <c r="L1868" s="581"/>
      <c r="M1868" s="581"/>
      <c r="N1868" s="578"/>
    </row>
    <row r="1869" spans="11:14" ht="15">
      <c r="K1869" s="507"/>
      <c r="L1869" s="581"/>
      <c r="M1869" s="581"/>
      <c r="N1869" s="578"/>
    </row>
    <row r="1870" spans="11:14" ht="15.75" thickBot="1">
      <c r="K1870" s="508"/>
      <c r="L1870" s="582"/>
      <c r="M1870" s="582"/>
      <c r="N1870" s="576"/>
    </row>
    <row r="1871" spans="11:14" ht="15">
      <c r="K1871" s="506"/>
      <c r="L1871" s="580"/>
      <c r="M1871" s="580"/>
      <c r="N1871" s="577"/>
    </row>
    <row r="1872" spans="11:14" ht="15">
      <c r="K1872" s="507"/>
      <c r="L1872" s="581"/>
      <c r="M1872" s="689"/>
      <c r="N1872" s="578"/>
    </row>
    <row r="1873" spans="11:14" ht="15">
      <c r="K1873" s="507"/>
      <c r="L1873" s="581"/>
      <c r="M1873" s="581"/>
      <c r="N1873" s="578"/>
    </row>
    <row r="1874" spans="11:14" ht="15">
      <c r="K1874" s="507"/>
      <c r="L1874" s="581"/>
      <c r="M1874" s="581"/>
      <c r="N1874" s="578"/>
    </row>
    <row r="1875" spans="11:14" ht="15">
      <c r="K1875" s="507"/>
      <c r="L1875" s="581"/>
      <c r="M1875" s="581"/>
      <c r="N1875" s="578"/>
    </row>
    <row r="1876" spans="11:14" ht="15">
      <c r="K1876" s="507"/>
      <c r="L1876" s="581"/>
      <c r="M1876" s="581"/>
      <c r="N1876" s="578"/>
    </row>
    <row r="1877" spans="11:14" ht="15.75" thickBot="1">
      <c r="K1877" s="508"/>
      <c r="L1877" s="582"/>
      <c r="M1877" s="582"/>
      <c r="N1877" s="576"/>
    </row>
    <row r="1878" spans="11:14" ht="15">
      <c r="K1878" s="506"/>
      <c r="L1878" s="580"/>
      <c r="M1878" s="612"/>
      <c r="N1878" s="577"/>
    </row>
    <row r="1879" spans="11:14" ht="15.75" thickBot="1">
      <c r="K1879" s="508"/>
      <c r="L1879" s="582"/>
      <c r="M1879" s="582"/>
      <c r="N1879" s="576"/>
    </row>
    <row r="1880" spans="11:14" ht="15">
      <c r="K1880" s="506"/>
      <c r="L1880" s="580"/>
      <c r="M1880" s="580"/>
      <c r="N1880" s="577"/>
    </row>
    <row r="1881" spans="11:14" ht="15">
      <c r="K1881" s="507"/>
      <c r="L1881" s="581"/>
      <c r="M1881" s="581"/>
      <c r="N1881" s="578"/>
    </row>
    <row r="1882" spans="11:14" ht="15">
      <c r="K1882" s="507"/>
      <c r="L1882" s="581"/>
      <c r="M1882" s="581"/>
      <c r="N1882" s="578"/>
    </row>
    <row r="1883" spans="11:14" ht="15">
      <c r="K1883" s="507"/>
      <c r="L1883" s="581"/>
      <c r="M1883" s="581"/>
      <c r="N1883" s="578"/>
    </row>
    <row r="1884" spans="11:14" ht="15">
      <c r="K1884" s="507"/>
      <c r="L1884" s="581"/>
      <c r="M1884" s="581"/>
      <c r="N1884" s="578"/>
    </row>
    <row r="1885" spans="11:14" ht="15">
      <c r="K1885" s="507"/>
      <c r="L1885" s="581"/>
      <c r="M1885" s="581"/>
      <c r="N1885" s="578"/>
    </row>
    <row r="1886" spans="11:14" ht="15">
      <c r="K1886" s="507"/>
      <c r="L1886" s="581"/>
      <c r="M1886" s="581"/>
      <c r="N1886" s="578"/>
    </row>
    <row r="1887" spans="11:14" ht="15">
      <c r="K1887" s="507"/>
      <c r="L1887" s="581"/>
      <c r="M1887" s="581"/>
      <c r="N1887" s="578"/>
    </row>
    <row r="1888" spans="11:14" ht="15.75" thickBot="1">
      <c r="K1888" s="508"/>
      <c r="L1888" s="582"/>
      <c r="M1888" s="582"/>
      <c r="N1888" s="576"/>
    </row>
    <row r="1889" spans="11:14" ht="15.75" thickBot="1">
      <c r="K1889" s="507"/>
      <c r="L1889" s="582"/>
      <c r="M1889" s="582"/>
      <c r="N1889" s="576"/>
    </row>
    <row r="1890" spans="11:14" ht="15">
      <c r="K1890" s="506"/>
      <c r="L1890" s="580"/>
      <c r="M1890" s="580"/>
      <c r="N1890" s="577"/>
    </row>
    <row r="1891" spans="11:14" ht="15.75" thickBot="1">
      <c r="K1891" s="508"/>
      <c r="L1891" s="581"/>
      <c r="M1891" s="581"/>
      <c r="N1891" s="578"/>
    </row>
    <row r="1892" spans="11:14" ht="15.75" thickBot="1">
      <c r="K1892" s="504"/>
      <c r="L1892" s="579"/>
      <c r="M1892" s="579"/>
      <c r="N1892" s="505"/>
    </row>
    <row r="1893" spans="11:14" ht="15">
      <c r="K1893" s="506"/>
      <c r="L1893" s="580"/>
      <c r="M1893" s="580"/>
      <c r="N1893" s="577"/>
    </row>
    <row r="1894" spans="11:14" ht="15.75" thickBot="1">
      <c r="K1894" s="508"/>
      <c r="L1894" s="582"/>
      <c r="M1894" s="582"/>
      <c r="N1894" s="576"/>
    </row>
    <row r="1895" spans="11:14" ht="15.75" thickBot="1">
      <c r="K1895" s="504"/>
      <c r="L1895" s="579"/>
      <c r="M1895" s="579"/>
      <c r="N1895" s="505"/>
    </row>
    <row r="1896" spans="11:14" ht="15.75" thickBot="1">
      <c r="K1896" s="506"/>
      <c r="L1896" s="580"/>
      <c r="M1896" s="580"/>
      <c r="N1896" s="505"/>
    </row>
    <row r="1897" spans="11:14" ht="15.75" thickBot="1">
      <c r="K1897" s="508"/>
      <c r="L1897" s="582"/>
      <c r="M1897" s="582"/>
      <c r="N1897" s="505"/>
    </row>
    <row r="1898" spans="11:14" ht="15.75" thickBot="1">
      <c r="K1898" s="508"/>
      <c r="L1898" s="582"/>
      <c r="M1898" s="582"/>
      <c r="N1898" s="582"/>
    </row>
    <row r="1899" spans="11:14" ht="15.75" thickBot="1">
      <c r="K1899" s="508"/>
      <c r="L1899" s="582"/>
      <c r="M1899" s="582"/>
      <c r="N1899" s="582"/>
    </row>
    <row r="1900" spans="11:14" ht="15.75" thickBot="1">
      <c r="K1900" s="601"/>
      <c r="L1900" s="582"/>
      <c r="M1900" s="582"/>
      <c r="N1900" s="505"/>
    </row>
    <row r="1901" spans="11:14" ht="15.75" thickBot="1">
      <c r="K1901" s="507"/>
      <c r="L1901" s="579"/>
      <c r="M1901" s="579"/>
      <c r="N1901" s="609"/>
    </row>
    <row r="1902" spans="11:14" ht="15">
      <c r="K1902" s="506"/>
      <c r="L1902" s="580"/>
      <c r="M1902" s="580"/>
      <c r="N1902" s="577"/>
    </row>
    <row r="1903" spans="11:14" ht="15">
      <c r="K1903" s="507"/>
      <c r="L1903" s="581"/>
      <c r="M1903" s="581"/>
      <c r="N1903" s="578"/>
    </row>
    <row r="1904" spans="11:14" ht="15">
      <c r="K1904" s="507"/>
      <c r="L1904" s="581"/>
      <c r="M1904" s="581"/>
      <c r="N1904" s="578"/>
    </row>
    <row r="1905" spans="11:14" ht="15">
      <c r="K1905" s="507"/>
      <c r="L1905" s="581"/>
      <c r="M1905" s="581"/>
      <c r="N1905" s="578"/>
    </row>
    <row r="1906" spans="11:14" ht="15">
      <c r="K1906" s="507"/>
      <c r="L1906" s="581"/>
      <c r="M1906" s="581"/>
      <c r="N1906" s="578"/>
    </row>
    <row r="1907" spans="11:14" ht="15">
      <c r="K1907" s="507"/>
      <c r="L1907" s="581"/>
      <c r="M1907" s="581"/>
      <c r="N1907" s="578"/>
    </row>
    <row r="1908" spans="11:14" ht="15.75" thickBot="1">
      <c r="K1908" s="508"/>
      <c r="L1908" s="582"/>
      <c r="M1908" s="582"/>
      <c r="N1908" s="576"/>
    </row>
    <row r="1909" spans="11:14" ht="15.75" thickBot="1">
      <c r="K1909" s="504"/>
      <c r="L1909" s="579"/>
      <c r="M1909" s="611"/>
      <c r="N1909" s="505"/>
    </row>
    <row r="1910" spans="11:14" ht="15">
      <c r="K1910" s="506"/>
      <c r="L1910" s="580"/>
      <c r="M1910" s="580"/>
      <c r="N1910" s="577"/>
    </row>
    <row r="1911" spans="11:14" ht="15">
      <c r="K1911" s="507"/>
      <c r="L1911" s="581"/>
      <c r="M1911" s="581"/>
      <c r="N1911" s="578"/>
    </row>
    <row r="1912" spans="11:14" ht="15.75" thickBot="1">
      <c r="K1912" s="508"/>
      <c r="L1912" s="582"/>
      <c r="M1912" s="582"/>
      <c r="N1912" s="576"/>
    </row>
    <row r="1913" spans="11:14" ht="15.75" thickBot="1">
      <c r="K1913" s="504"/>
      <c r="L1913" s="579"/>
      <c r="M1913" s="579"/>
      <c r="N1913" s="505"/>
    </row>
    <row r="1914" spans="11:14" ht="15.75" thickBot="1">
      <c r="K1914" s="504"/>
      <c r="L1914" s="579"/>
      <c r="M1914" s="579"/>
      <c r="N1914" s="505"/>
    </row>
    <row r="1915" spans="11:14" ht="15.75" thickBot="1">
      <c r="K1915" s="504"/>
      <c r="L1915" s="579"/>
      <c r="M1915" s="611"/>
      <c r="N1915" s="505"/>
    </row>
    <row r="1916" spans="11:14" ht="15">
      <c r="K1916" s="506"/>
      <c r="L1916" s="580"/>
      <c r="M1916" s="580"/>
      <c r="N1916" s="577"/>
    </row>
    <row r="1917" spans="11:14" ht="15">
      <c r="K1917" s="507"/>
      <c r="L1917" s="581"/>
      <c r="M1917" s="581"/>
      <c r="N1917" s="578"/>
    </row>
    <row r="1918" spans="11:14" ht="15">
      <c r="K1918" s="507"/>
      <c r="L1918" s="581"/>
      <c r="M1918" s="581"/>
      <c r="N1918" s="578"/>
    </row>
    <row r="1919" spans="11:14" ht="15.75" thickBot="1">
      <c r="K1919" s="507"/>
      <c r="L1919" s="582"/>
      <c r="M1919" s="582"/>
      <c r="N1919" s="576"/>
    </row>
    <row r="1920" spans="11:14" ht="15">
      <c r="K1920" s="506"/>
      <c r="L1920" s="580"/>
      <c r="M1920" s="580"/>
      <c r="N1920" s="577"/>
    </row>
    <row r="1921" spans="11:14" ht="15">
      <c r="K1921" s="507"/>
      <c r="L1921" s="581"/>
      <c r="M1921" s="581"/>
      <c r="N1921" s="578"/>
    </row>
    <row r="1922" spans="11:14" ht="15">
      <c r="K1922" s="507"/>
      <c r="L1922" s="581"/>
      <c r="M1922" s="581"/>
      <c r="N1922" s="578"/>
    </row>
    <row r="1923" spans="11:14" ht="15.75" thickBot="1">
      <c r="K1923" s="508"/>
      <c r="L1923" s="582"/>
      <c r="M1923" s="582"/>
      <c r="N1923" s="576"/>
    </row>
    <row r="1924" spans="11:14" ht="15.75" thickBot="1">
      <c r="K1924" s="508"/>
      <c r="L1924" s="582"/>
      <c r="M1924" s="581"/>
      <c r="N1924" s="505"/>
    </row>
    <row r="1925" spans="11:14" ht="15.75" thickBot="1">
      <c r="K1925" s="508"/>
      <c r="L1925" s="579"/>
      <c r="M1925" s="579"/>
      <c r="N1925" s="505"/>
    </row>
    <row r="1926" spans="11:14" ht="15.75" thickBot="1">
      <c r="K1926" s="508"/>
      <c r="L1926" s="579"/>
      <c r="M1926" s="579"/>
      <c r="N1926" s="505"/>
    </row>
    <row r="1927" spans="11:14" ht="15.75" thickBot="1">
      <c r="K1927" s="508"/>
      <c r="L1927" s="579"/>
      <c r="M1927" s="579"/>
      <c r="N1927" s="505"/>
    </row>
    <row r="1928" spans="11:14" ht="15.75" thickBot="1">
      <c r="K1928" s="508"/>
      <c r="L1928" s="579"/>
      <c r="M1928" s="579"/>
      <c r="N1928" s="505"/>
    </row>
    <row r="1929" spans="11:14" ht="15.75" thickBot="1">
      <c r="K1929" s="506"/>
      <c r="L1929" s="580"/>
      <c r="M1929" s="580"/>
      <c r="N1929" s="577"/>
    </row>
    <row r="1930" spans="11:14" ht="15.75" thickBot="1">
      <c r="K1930" s="504"/>
      <c r="L1930" s="602"/>
      <c r="M1930" s="602"/>
      <c r="N1930" s="577"/>
    </row>
    <row r="1931" spans="11:14" ht="15.75" thickBot="1">
      <c r="K1931" s="499"/>
      <c r="L1931" s="599"/>
      <c r="M1931" s="599"/>
      <c r="N1931" s="600"/>
    </row>
  </sheetData>
  <sheetProtection/>
  <mergeCells count="1">
    <mergeCell ref="A1:K1"/>
  </mergeCells>
  <printOptions horizontalCentered="1"/>
  <pageMargins left="0" right="0.3937007874015748" top="0.3937007874015748" bottom="0.5905511811023623" header="0.1968503937007874" footer="0.1968503937007874"/>
  <pageSetup firstPageNumber="6" useFirstPageNumber="1" fitToHeight="27" horizontalDpi="600" verticalDpi="600" orientation="portrait" scale="75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73"/>
  <sheetViews>
    <sheetView zoomScalePageLayoutView="0" workbookViewId="0" topLeftCell="A1">
      <selection activeCell="C4" sqref="C4"/>
    </sheetView>
  </sheetViews>
  <sheetFormatPr defaultColWidth="9.140625" defaultRowHeight="12.75"/>
  <cols>
    <col min="1" max="1" width="43.421875" style="0" customWidth="1"/>
    <col min="2" max="2" width="13.421875" style="169" customWidth="1"/>
    <col min="3" max="3" width="13.28125" style="0" customWidth="1"/>
  </cols>
  <sheetData>
    <row r="1" spans="1:3" ht="39" customHeight="1">
      <c r="A1" s="170" t="s">
        <v>568</v>
      </c>
      <c r="B1" s="171" t="s">
        <v>703</v>
      </c>
      <c r="C1" s="172" t="s">
        <v>684</v>
      </c>
    </row>
    <row r="2" spans="1:3" s="264" customFormat="1" ht="12">
      <c r="A2" s="262">
        <v>1</v>
      </c>
      <c r="B2" s="263" t="s">
        <v>260</v>
      </c>
      <c r="C2" s="226">
        <v>3</v>
      </c>
    </row>
    <row r="3" spans="1:3" s="22" customFormat="1" ht="30" customHeight="1">
      <c r="A3" s="187" t="s">
        <v>488</v>
      </c>
      <c r="B3" s="188">
        <v>1101</v>
      </c>
      <c r="C3" s="159" t="e">
        <f>C4</f>
        <v>#REF!</v>
      </c>
    </row>
    <row r="4" spans="1:3" ht="22.5" customHeight="1">
      <c r="A4" s="183" t="s">
        <v>706</v>
      </c>
      <c r="B4" s="189" t="s">
        <v>705</v>
      </c>
      <c r="C4" s="38" t="e">
        <f>fplan!K859+fplan!#REF!</f>
        <v>#REF!</v>
      </c>
    </row>
    <row r="5" spans="1:3" ht="22.5" customHeight="1" hidden="1">
      <c r="A5" s="173"/>
      <c r="B5" s="166"/>
      <c r="C5" s="38"/>
    </row>
    <row r="6" spans="1:3" s="22" customFormat="1" ht="20.25" customHeight="1">
      <c r="A6" s="187" t="s">
        <v>487</v>
      </c>
      <c r="B6" s="188" t="s">
        <v>658</v>
      </c>
      <c r="C6" s="159" t="e">
        <f>C7+C8+C9+C10</f>
        <v>#REF!</v>
      </c>
    </row>
    <row r="7" spans="1:3" ht="12.75">
      <c r="A7" s="178" t="s">
        <v>232</v>
      </c>
      <c r="B7" s="179" t="s">
        <v>659</v>
      </c>
      <c r="C7" s="38">
        <f>'pomocni obracuni'!H53</f>
        <v>70645207.91</v>
      </c>
    </row>
    <row r="8" spans="1:3" ht="12.75">
      <c r="A8" s="183" t="s">
        <v>721</v>
      </c>
      <c r="B8" s="189" t="s">
        <v>716</v>
      </c>
      <c r="C8" s="38">
        <f>fplan!K879</f>
        <v>17516880.23</v>
      </c>
    </row>
    <row r="9" spans="1:3" ht="12.75">
      <c r="A9" s="174" t="s">
        <v>678</v>
      </c>
      <c r="B9" s="175" t="s">
        <v>677</v>
      </c>
      <c r="C9" s="38" t="e">
        <f>'pomocni obracuni'!H59</f>
        <v>#REF!</v>
      </c>
    </row>
    <row r="10" spans="1:3" ht="12.75">
      <c r="A10" s="174" t="s">
        <v>723</v>
      </c>
      <c r="B10" s="175" t="s">
        <v>722</v>
      </c>
      <c r="C10" s="38" t="e">
        <f>'pomocni obracuni'!H60</f>
        <v>#REF!</v>
      </c>
    </row>
    <row r="11" spans="1:3" s="22" customFormat="1" ht="20.25" customHeight="1">
      <c r="A11" s="187" t="s">
        <v>442</v>
      </c>
      <c r="B11" s="188" t="s">
        <v>663</v>
      </c>
      <c r="C11" s="159" t="e">
        <f>C12+C15+C16</f>
        <v>#REF!</v>
      </c>
    </row>
    <row r="12" spans="1:3" ht="12.75">
      <c r="A12" s="174" t="s">
        <v>665</v>
      </c>
      <c r="B12" s="175" t="s">
        <v>664</v>
      </c>
      <c r="C12" s="38">
        <f>fplan!K932</f>
        <v>7196391.09</v>
      </c>
    </row>
    <row r="13" spans="1:3" ht="12.75" hidden="1">
      <c r="A13" s="174" t="s">
        <v>724</v>
      </c>
      <c r="B13" s="175" t="s">
        <v>489</v>
      </c>
      <c r="C13" s="11"/>
    </row>
    <row r="14" spans="1:3" ht="12.75" hidden="1">
      <c r="A14" s="174" t="s">
        <v>725</v>
      </c>
      <c r="B14" s="175" t="s">
        <v>490</v>
      </c>
      <c r="C14" s="11"/>
    </row>
    <row r="15" spans="1:3" ht="12.75">
      <c r="A15" s="174" t="s">
        <v>727</v>
      </c>
      <c r="B15" s="175" t="s">
        <v>726</v>
      </c>
      <c r="C15" s="38" t="e">
        <f>fplan!#REF!</f>
        <v>#REF!</v>
      </c>
    </row>
    <row r="16" spans="1:3" ht="25.5">
      <c r="A16" s="174" t="s">
        <v>729</v>
      </c>
      <c r="B16" s="175" t="s">
        <v>728</v>
      </c>
      <c r="C16" s="38">
        <f>fplan!K973</f>
        <v>2749954.38</v>
      </c>
    </row>
    <row r="17" spans="1:3" s="22" customFormat="1" ht="18.75" customHeight="1">
      <c r="A17" s="190" t="s">
        <v>443</v>
      </c>
      <c r="B17" s="191" t="s">
        <v>674</v>
      </c>
      <c r="C17" s="159" t="e">
        <f>C18+C19</f>
        <v>#REF!</v>
      </c>
    </row>
    <row r="18" spans="1:3" ht="12.75">
      <c r="A18" s="176" t="s">
        <v>676</v>
      </c>
      <c r="B18" s="177" t="s">
        <v>675</v>
      </c>
      <c r="C18" s="38" t="e">
        <f>fplan!#REF!</f>
        <v>#REF!</v>
      </c>
    </row>
    <row r="19" spans="1:3" ht="12.75">
      <c r="A19" s="178" t="s">
        <v>732</v>
      </c>
      <c r="B19" s="179" t="s">
        <v>731</v>
      </c>
      <c r="C19" s="38" t="e">
        <f>fplan!#REF!</f>
        <v>#REF!</v>
      </c>
    </row>
    <row r="20" spans="1:3" s="22" customFormat="1" ht="19.5" customHeight="1">
      <c r="A20" s="187" t="s">
        <v>467</v>
      </c>
      <c r="B20" s="188" t="s">
        <v>667</v>
      </c>
      <c r="C20" s="159" t="e">
        <f>C21+C22</f>
        <v>#REF!</v>
      </c>
    </row>
    <row r="21" spans="1:3" ht="12.75">
      <c r="A21" s="174" t="s">
        <v>733</v>
      </c>
      <c r="B21" s="175" t="s">
        <v>668</v>
      </c>
      <c r="C21" s="38">
        <f>fplan!K954</f>
        <v>0</v>
      </c>
    </row>
    <row r="22" spans="1:3" ht="12.75">
      <c r="A22" s="174" t="s">
        <v>671</v>
      </c>
      <c r="B22" s="175" t="s">
        <v>670</v>
      </c>
      <c r="C22" s="38" t="e">
        <f>fplan!#REF!+fplan!K961</f>
        <v>#REF!</v>
      </c>
    </row>
    <row r="23" spans="1:12" ht="12.75">
      <c r="A23" s="174" t="s">
        <v>599</v>
      </c>
      <c r="B23" s="175" t="s">
        <v>491</v>
      </c>
      <c r="C23" s="11"/>
      <c r="L23" t="s">
        <v>567</v>
      </c>
    </row>
    <row r="24" spans="1:3" s="22" customFormat="1" ht="18" customHeight="1">
      <c r="A24" s="187" t="s">
        <v>468</v>
      </c>
      <c r="B24" s="188" t="s">
        <v>681</v>
      </c>
      <c r="C24" s="159" t="e">
        <f>C25</f>
        <v>#REF!</v>
      </c>
    </row>
    <row r="25" spans="1:3" ht="25.5">
      <c r="A25" s="174" t="s">
        <v>680</v>
      </c>
      <c r="B25" s="175" t="s">
        <v>682</v>
      </c>
      <c r="C25" s="38" t="e">
        <f>fplan!#REF!+fplan!K988</f>
        <v>#REF!</v>
      </c>
    </row>
    <row r="26" spans="1:3" ht="12.75" hidden="1">
      <c r="A26" s="174" t="s">
        <v>734</v>
      </c>
      <c r="B26" s="175" t="s">
        <v>492</v>
      </c>
      <c r="C26" s="11"/>
    </row>
    <row r="27" spans="1:3" ht="12.75" hidden="1">
      <c r="A27" s="174" t="s">
        <v>735</v>
      </c>
      <c r="B27" s="175" t="s">
        <v>493</v>
      </c>
      <c r="C27" s="11"/>
    </row>
    <row r="28" spans="1:3" ht="25.5" hidden="1">
      <c r="A28" s="174" t="s">
        <v>736</v>
      </c>
      <c r="B28" s="175" t="s">
        <v>494</v>
      </c>
      <c r="C28" s="11"/>
    </row>
    <row r="29" spans="1:3" s="22" customFormat="1" ht="19.5" customHeight="1">
      <c r="A29" s="187" t="s">
        <v>469</v>
      </c>
      <c r="B29" s="188" t="s">
        <v>737</v>
      </c>
      <c r="C29" s="159" t="e">
        <f>C30+C31</f>
        <v>#REF!</v>
      </c>
    </row>
    <row r="30" spans="1:3" ht="12.75">
      <c r="A30" s="180" t="s">
        <v>739</v>
      </c>
      <c r="B30" s="181" t="s">
        <v>738</v>
      </c>
      <c r="C30" s="38" t="e">
        <f>fplan!K898+fplan!#REF!</f>
        <v>#REF!</v>
      </c>
    </row>
    <row r="31" spans="1:3" ht="12.75">
      <c r="A31" s="180" t="s">
        <v>741</v>
      </c>
      <c r="B31" s="181" t="s">
        <v>740</v>
      </c>
      <c r="C31" s="38" t="e">
        <f>fplan!#REF!</f>
        <v>#REF!</v>
      </c>
    </row>
    <row r="32" spans="1:3" s="22" customFormat="1" ht="23.25" customHeight="1">
      <c r="A32" s="187" t="s">
        <v>479</v>
      </c>
      <c r="B32" s="188" t="s">
        <v>553</v>
      </c>
      <c r="C32" s="159" t="e">
        <f>C33</f>
        <v>#REF!</v>
      </c>
    </row>
    <row r="33" spans="1:3" ht="12.75">
      <c r="A33" s="174" t="s">
        <v>556</v>
      </c>
      <c r="B33" s="175" t="s">
        <v>554</v>
      </c>
      <c r="C33" s="38" t="e">
        <f>fplan!#REF!</f>
        <v>#REF!</v>
      </c>
    </row>
    <row r="34" spans="1:3" s="22" customFormat="1" ht="22.5" customHeight="1">
      <c r="A34" s="187" t="s">
        <v>480</v>
      </c>
      <c r="B34" s="188" t="s">
        <v>544</v>
      </c>
      <c r="C34" s="159" t="e">
        <f>C35</f>
        <v>#REF!</v>
      </c>
    </row>
    <row r="35" spans="1:3" ht="12.75">
      <c r="A35" s="178" t="s">
        <v>543</v>
      </c>
      <c r="B35" s="179" t="s">
        <v>545</v>
      </c>
      <c r="C35" s="38" t="e">
        <f>fplan!#REF!</f>
        <v>#REF!</v>
      </c>
    </row>
    <row r="36" spans="1:3" s="22" customFormat="1" ht="22.5" customHeight="1">
      <c r="A36" s="187" t="s">
        <v>481</v>
      </c>
      <c r="B36" s="188" t="s">
        <v>549</v>
      </c>
      <c r="C36" s="159" t="e">
        <f>C37</f>
        <v>#REF!</v>
      </c>
    </row>
    <row r="37" spans="1:3" ht="12.75">
      <c r="A37" s="178" t="s">
        <v>551</v>
      </c>
      <c r="B37" s="179" t="s">
        <v>550</v>
      </c>
      <c r="C37" s="38" t="e">
        <f>fplan!#REF!</f>
        <v>#REF!</v>
      </c>
    </row>
    <row r="38" spans="1:3" s="22" customFormat="1" ht="22.5" customHeight="1">
      <c r="A38" s="187" t="s">
        <v>482</v>
      </c>
      <c r="B38" s="188" t="s">
        <v>562</v>
      </c>
      <c r="C38" s="159" t="e">
        <f>C39+C40+C43+C44</f>
        <v>#REF!</v>
      </c>
    </row>
    <row r="39" spans="1:3" ht="12.75">
      <c r="A39" s="174" t="s">
        <v>570</v>
      </c>
      <c r="B39" s="175" t="s">
        <v>563</v>
      </c>
      <c r="C39" s="38" t="e">
        <f>fplan!#REF!</f>
        <v>#REF!</v>
      </c>
    </row>
    <row r="40" spans="1:3" ht="25.5">
      <c r="A40" s="174" t="s">
        <v>602</v>
      </c>
      <c r="B40" s="175" t="s">
        <v>742</v>
      </c>
      <c r="C40" s="38">
        <f>fplan!K1010</f>
        <v>1843136.64</v>
      </c>
    </row>
    <row r="41" spans="1:3" ht="12.75" hidden="1">
      <c r="A41" s="174" t="s">
        <v>755</v>
      </c>
      <c r="B41" s="175" t="s">
        <v>495</v>
      </c>
      <c r="C41" s="11"/>
    </row>
    <row r="42" spans="1:3" ht="25.5" hidden="1">
      <c r="A42" s="174" t="s">
        <v>756</v>
      </c>
      <c r="B42" s="175" t="s">
        <v>496</v>
      </c>
      <c r="C42" s="11"/>
    </row>
    <row r="43" spans="1:3" ht="12.75">
      <c r="A43" s="174" t="s">
        <v>758</v>
      </c>
      <c r="B43" s="175" t="s">
        <v>757</v>
      </c>
      <c r="C43" s="38">
        <f>fplan!K999</f>
        <v>6251087.2</v>
      </c>
    </row>
    <row r="44" spans="1:3" ht="12.75">
      <c r="A44" s="174" t="s">
        <v>603</v>
      </c>
      <c r="B44" s="175" t="s">
        <v>564</v>
      </c>
      <c r="C44" s="38" t="e">
        <f>fplan!#REF!</f>
        <v>#REF!</v>
      </c>
    </row>
    <row r="45" spans="1:3" s="22" customFormat="1" ht="12.75">
      <c r="A45" s="187" t="s">
        <v>483</v>
      </c>
      <c r="B45" s="188" t="s">
        <v>558</v>
      </c>
      <c r="C45" s="159" t="e">
        <f>C46</f>
        <v>#REF!</v>
      </c>
    </row>
    <row r="46" spans="1:3" ht="25.5">
      <c r="A46" s="174" t="s">
        <v>560</v>
      </c>
      <c r="B46" s="175" t="s">
        <v>559</v>
      </c>
      <c r="C46" s="38" t="e">
        <f>fplan!#REF!</f>
        <v>#REF!</v>
      </c>
    </row>
    <row r="47" spans="1:3" s="22" customFormat="1" ht="21.75" customHeight="1">
      <c r="A47" s="187" t="s">
        <v>484</v>
      </c>
      <c r="B47" s="188" t="s">
        <v>648</v>
      </c>
      <c r="C47" s="159" t="e">
        <f>C48+C49+C50+C51+C52+C53+C54+C55</f>
        <v>#REF!</v>
      </c>
    </row>
    <row r="48" spans="1:3" ht="12.75">
      <c r="A48" s="174" t="s">
        <v>759</v>
      </c>
      <c r="B48" s="175" t="s">
        <v>649</v>
      </c>
      <c r="C48" s="38" t="e">
        <f>fplan!#REF!+fplan!K506+fplan!K585+fplan!K681+fplan!#REF!</f>
        <v>#REF!</v>
      </c>
    </row>
    <row r="49" spans="1:3" ht="12.75">
      <c r="A49" s="174" t="s">
        <v>761</v>
      </c>
      <c r="B49" s="175" t="s">
        <v>760</v>
      </c>
      <c r="C49" s="38">
        <f>fplan!K542+fplan!K617+fplan!K720</f>
        <v>3056553.7800000003</v>
      </c>
    </row>
    <row r="50" spans="1:3" ht="12.75">
      <c r="A50" s="184" t="s">
        <v>509</v>
      </c>
      <c r="B50" s="175" t="s">
        <v>762</v>
      </c>
      <c r="C50" s="38">
        <f>fplan!K549</f>
        <v>0</v>
      </c>
    </row>
    <row r="51" spans="1:3" ht="25.5">
      <c r="A51" s="184" t="s">
        <v>510</v>
      </c>
      <c r="B51" s="175" t="s">
        <v>643</v>
      </c>
      <c r="C51" s="38">
        <f>fplan!K556</f>
        <v>0</v>
      </c>
    </row>
    <row r="52" spans="1:3" ht="12.75">
      <c r="A52" s="184" t="s">
        <v>511</v>
      </c>
      <c r="B52" s="175" t="s">
        <v>501</v>
      </c>
      <c r="C52" s="38" t="e">
        <f>fplan!#REF!</f>
        <v>#REF!</v>
      </c>
    </row>
    <row r="53" spans="1:3" ht="25.5">
      <c r="A53" s="265" t="s">
        <v>190</v>
      </c>
      <c r="B53" s="175" t="s">
        <v>502</v>
      </c>
      <c r="C53" s="38">
        <f>fplan!K630</f>
        <v>3000</v>
      </c>
    </row>
    <row r="54" spans="1:3" ht="25.5">
      <c r="A54" s="265" t="s">
        <v>191</v>
      </c>
      <c r="B54" s="175" t="s">
        <v>503</v>
      </c>
      <c r="C54" s="38">
        <f>fplan!K641</f>
        <v>0</v>
      </c>
    </row>
    <row r="55" spans="1:3" ht="12.75">
      <c r="A55" s="185" t="s">
        <v>512</v>
      </c>
      <c r="B55" s="175" t="s">
        <v>504</v>
      </c>
      <c r="C55" s="38">
        <f>fplan!K728</f>
        <v>71500</v>
      </c>
    </row>
    <row r="56" spans="1:3" s="22" customFormat="1" ht="20.25" customHeight="1">
      <c r="A56" s="187" t="s">
        <v>485</v>
      </c>
      <c r="B56" s="188" t="s">
        <v>572</v>
      </c>
      <c r="C56" s="159" t="e">
        <f>C57+C58+C59</f>
        <v>#REF!</v>
      </c>
    </row>
    <row r="57" spans="1:3" ht="25.5">
      <c r="A57" s="174" t="s">
        <v>574</v>
      </c>
      <c r="B57" s="175" t="s">
        <v>573</v>
      </c>
      <c r="C57" s="38" t="e">
        <f>fplan!#REF!</f>
        <v>#REF!</v>
      </c>
    </row>
    <row r="58" spans="1:3" ht="25.5">
      <c r="A58" s="174" t="s">
        <v>764</v>
      </c>
      <c r="B58" s="175" t="s">
        <v>763</v>
      </c>
      <c r="C58" s="38" t="e">
        <f>fplan!K453+fplan!#REF!</f>
        <v>#REF!</v>
      </c>
    </row>
    <row r="59" spans="1:3" ht="12.75">
      <c r="A59" s="174" t="s">
        <v>766</v>
      </c>
      <c r="B59" s="175" t="s">
        <v>765</v>
      </c>
      <c r="C59" s="38">
        <f>fplan!K468</f>
        <v>2746553.7600000002</v>
      </c>
    </row>
    <row r="60" spans="1:3" s="22" customFormat="1" ht="21" customHeight="1">
      <c r="A60" s="187" t="s">
        <v>486</v>
      </c>
      <c r="B60" s="188" t="s">
        <v>528</v>
      </c>
      <c r="C60" s="159" t="e">
        <f>C61+C62+C63+C64+C67+C72</f>
        <v>#REF!</v>
      </c>
    </row>
    <row r="61" spans="1:3" ht="25.5">
      <c r="A61" s="174" t="s">
        <v>526</v>
      </c>
      <c r="B61" s="175" t="s">
        <v>529</v>
      </c>
      <c r="C61" s="38" t="e">
        <f>fplan!#REF!+fplan!#REF!+fplan!#REF!+fplan!K225</f>
        <v>#REF!</v>
      </c>
    </row>
    <row r="62" spans="1:3" ht="12.75">
      <c r="A62" s="174" t="s">
        <v>767</v>
      </c>
      <c r="B62" s="175" t="s">
        <v>540</v>
      </c>
      <c r="C62" s="38" t="e">
        <f>fplan!#REF!</f>
        <v>#REF!</v>
      </c>
    </row>
    <row r="63" spans="1:3" ht="12.75">
      <c r="A63" s="174" t="s">
        <v>532</v>
      </c>
      <c r="B63" s="175" t="s">
        <v>531</v>
      </c>
      <c r="C63" s="38">
        <f>fplan!K233</f>
        <v>21281994.19</v>
      </c>
    </row>
    <row r="64" spans="1:3" ht="12.75">
      <c r="A64" s="174" t="s">
        <v>768</v>
      </c>
      <c r="B64" s="175" t="s">
        <v>538</v>
      </c>
      <c r="C64" s="38" t="e">
        <f>fplan!#REF!</f>
        <v>#REF!</v>
      </c>
    </row>
    <row r="65" spans="1:3" ht="12.75" hidden="1">
      <c r="A65" s="174" t="s">
        <v>769</v>
      </c>
      <c r="B65" s="175"/>
      <c r="C65" s="11"/>
    </row>
    <row r="66" spans="1:3" ht="12.75" hidden="1">
      <c r="A66" s="174" t="s">
        <v>770</v>
      </c>
      <c r="B66" s="175"/>
      <c r="C66" s="11"/>
    </row>
    <row r="67" spans="1:3" ht="12.75">
      <c r="A67" s="174" t="s">
        <v>771</v>
      </c>
      <c r="B67" s="175" t="s">
        <v>497</v>
      </c>
      <c r="C67" s="38" t="e">
        <f>fplan!#REF!</f>
        <v>#REF!</v>
      </c>
    </row>
    <row r="68" spans="1:3" ht="12.75" hidden="1">
      <c r="A68" s="174" t="s">
        <v>598</v>
      </c>
      <c r="B68" s="175"/>
      <c r="C68" s="11"/>
    </row>
    <row r="69" spans="1:3" ht="12.75" hidden="1">
      <c r="A69" s="174" t="s">
        <v>772</v>
      </c>
      <c r="B69" s="175"/>
      <c r="C69" s="11"/>
    </row>
    <row r="70" spans="1:3" ht="12.75" hidden="1">
      <c r="A70" s="174" t="s">
        <v>773</v>
      </c>
      <c r="B70" s="175"/>
      <c r="C70" s="11"/>
    </row>
    <row r="71" spans="1:3" ht="12.75" hidden="1">
      <c r="A71" s="174" t="s">
        <v>774</v>
      </c>
      <c r="B71" s="175" t="s">
        <v>498</v>
      </c>
      <c r="C71" s="11"/>
    </row>
    <row r="72" spans="1:3" ht="26.25" customHeight="1">
      <c r="A72" s="186" t="s">
        <v>513</v>
      </c>
      <c r="B72" s="182" t="s">
        <v>628</v>
      </c>
      <c r="C72" s="38">
        <f>fplan!K239</f>
        <v>0</v>
      </c>
    </row>
    <row r="73" spans="1:3" s="22" customFormat="1" ht="42" customHeight="1" thickBot="1">
      <c r="A73" s="192" t="s">
        <v>506</v>
      </c>
      <c r="B73" s="193"/>
      <c r="C73" s="194" t="e">
        <f>C60+C56+C47+C45+C38+C36+C34+C32+C29+C24+C20+C17+C11+C6+C3</f>
        <v>#REF!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3"/>
  </sheetPr>
  <dimension ref="A1:K114"/>
  <sheetViews>
    <sheetView zoomScalePageLayoutView="0" workbookViewId="0" topLeftCell="B11">
      <selection activeCell="J23" sqref="J23"/>
    </sheetView>
  </sheetViews>
  <sheetFormatPr defaultColWidth="9.140625" defaultRowHeight="12.75"/>
  <cols>
    <col min="1" max="1" width="27.28125" style="17" customWidth="1"/>
    <col min="2" max="2" width="18.7109375" style="0" customWidth="1"/>
    <col min="3" max="6" width="18.57421875" style="0" customWidth="1"/>
    <col min="7" max="7" width="20.421875" style="0" customWidth="1"/>
    <col min="8" max="8" width="14.28125" style="0" customWidth="1"/>
    <col min="9" max="9" width="16.7109375" style="0" customWidth="1"/>
    <col min="10" max="10" width="14.28125" style="0" customWidth="1"/>
    <col min="11" max="11" width="11.140625" style="0" bestFit="1" customWidth="1"/>
  </cols>
  <sheetData>
    <row r="1" ht="12.75">
      <c r="A1" s="17" t="s">
        <v>707</v>
      </c>
    </row>
    <row r="2" spans="1:7" ht="12.75">
      <c r="A2" s="17">
        <v>42363160</v>
      </c>
      <c r="B2" s="17"/>
      <c r="G2" s="17">
        <f>fplan!K1378+fplan!K1380+fplan!K1382+fplan!K1384+fplan!K1390+fplan!K1392+fplan!K1398+fplan!K1401+fplan!K1406+fplan!K1415+fplan!K1417+fplan!K1419+fplan!K1421+fplan!K1424+fplan!K1426+fplan!K1431+fplan!K1433+fplan!K1449+fplan!K1451+fplan!K1453+fplan!K1455+fplan!K1461+fplan!K1463+fplan!K1470+fplan!K1473+fplan!K1489+fplan!K1491+fplan!K1493+fplan!K1495+fplan!K1501+fplan!K1504+fplan!K1506+fplan!K1510+fplan!K1513</f>
        <v>21791278.15</v>
      </c>
    </row>
    <row r="3" spans="1:7" ht="12.75">
      <c r="A3" s="17">
        <v>3571000</v>
      </c>
      <c r="B3" s="17"/>
      <c r="G3" s="17" t="e">
        <f>fplan!#REF!+fplan!#REF!+fplan!#REF!</f>
        <v>#REF!</v>
      </c>
    </row>
    <row r="4" spans="1:7" ht="12.75">
      <c r="A4" s="17">
        <v>11000000</v>
      </c>
      <c r="B4" s="17"/>
      <c r="G4" s="17" t="e">
        <f>fplan!#REF!</f>
        <v>#REF!</v>
      </c>
    </row>
    <row r="5" spans="1:7" ht="12.75">
      <c r="A5" s="17">
        <v>33300000</v>
      </c>
      <c r="B5" s="17"/>
      <c r="G5" s="47" t="e">
        <f>G2+G3+G4</f>
        <v>#REF!</v>
      </c>
    </row>
    <row r="6" ht="12.75">
      <c r="A6" s="17">
        <v>22410000</v>
      </c>
    </row>
    <row r="7" spans="1:2" ht="12.75">
      <c r="A7" s="17">
        <v>109000000</v>
      </c>
      <c r="B7" s="17"/>
    </row>
    <row r="8" spans="1:2" ht="12.75">
      <c r="A8" s="17">
        <v>1000000</v>
      </c>
      <c r="B8" s="17"/>
    </row>
    <row r="9" spans="1:2" ht="12.75">
      <c r="A9" s="17">
        <v>5500000</v>
      </c>
      <c r="B9" s="17"/>
    </row>
    <row r="10" ht="12.75">
      <c r="A10" s="17">
        <v>10678000</v>
      </c>
    </row>
    <row r="11" spans="1:10" ht="12.75">
      <c r="A11" s="17">
        <v>8644710</v>
      </c>
      <c r="B11" s="17"/>
      <c r="G11" s="859" t="s">
        <v>367</v>
      </c>
      <c r="H11" s="859"/>
      <c r="I11" s="859" t="s">
        <v>366</v>
      </c>
      <c r="J11" s="859"/>
    </row>
    <row r="12" spans="1:10" ht="12.75">
      <c r="A12" s="17">
        <v>20100000</v>
      </c>
      <c r="B12" s="17"/>
      <c r="G12" s="11">
        <v>463100</v>
      </c>
      <c r="H12" s="472" t="e">
        <f>(fplan!#REF!+fplan!#REF!+fplan!#REF!+fplan!#REF!+fplan!#REF!+fplan!#REF!+fplan!#REF!+fplan!#REF!+fplan!#REF!)-H13</f>
        <v>#REF!</v>
      </c>
      <c r="I12" s="11">
        <v>463100</v>
      </c>
      <c r="J12" s="472">
        <f>fplan!K1378+fplan!K1380+fplan!K1382+fplan!K1384+fplan!K1390+fplan!K1392+fplan!K1396+fplan!K1398+fplan!K1401+fplan!K1406+fplan!K1415+fplan!K1417+fplan!K1419+fplan!K1421+fplan!K1424+fplan!K1426+fplan!K1428+fplan!K1431+fplan!K1433+fplan!K1440+fplan!K1449+fplan!K1451+fplan!K1453+fplan!K1455+fplan!K1461+fplan!K1463+fplan!K1468+fplan!K1470+fplan!K1473+fplan!K1480+fplan!K1489+fplan!K1491+fplan!K1493+fplan!K1495+fplan!K1501+fplan!K1504+fplan!K1506+fplan!K1508+fplan!K1510+fplan!K1513</f>
        <v>22002085.119999997</v>
      </c>
    </row>
    <row r="13" spans="1:10" ht="12.75">
      <c r="A13" s="17">
        <v>24760000</v>
      </c>
      <c r="B13" s="17"/>
      <c r="G13" s="11">
        <v>463200</v>
      </c>
      <c r="H13" s="472" t="e">
        <f>fplan!#REF!+fplan!#REF!+fplan!#REF!+fplan!#REF!+fplan!#REF!+fplan!#REF!+fplan!#REF!+fplan!#REF!+fplan!#REF!+fplan!#REF!+fplan!#REF!+fplan!#REF!+fplan!#REF!+fplan!#REF!+fplan!#REF!+fplan!#REF!+fplan!#REF!+fplan!#REF!</f>
        <v>#REF!</v>
      </c>
      <c r="I13" s="11">
        <v>463200</v>
      </c>
      <c r="J13" s="472" t="e">
        <f>fplan!#REF!+fplan!#REF!+fplan!#REF!+fplan!#REF!+fplan!#REF!+fplan!#REF!</f>
        <v>#REF!</v>
      </c>
    </row>
    <row r="14" spans="1:10" ht="12.75">
      <c r="A14" s="17">
        <v>37914000</v>
      </c>
      <c r="B14" s="34"/>
      <c r="C14" s="36"/>
      <c r="D14" s="36"/>
      <c r="E14" s="36"/>
      <c r="G14" s="11">
        <v>472700</v>
      </c>
      <c r="H14" s="472" t="e">
        <f>fplan!#REF!</f>
        <v>#REF!</v>
      </c>
      <c r="I14" s="11">
        <v>472700</v>
      </c>
      <c r="J14" s="472" t="e">
        <f>fplan!#REF!+fplan!K1438</f>
        <v>#REF!</v>
      </c>
    </row>
    <row r="15" spans="1:10" ht="12.75">
      <c r="A15" s="17">
        <v>55613146</v>
      </c>
      <c r="B15" s="36"/>
      <c r="C15" s="36"/>
      <c r="D15" s="36"/>
      <c r="E15" s="36"/>
      <c r="G15" s="11"/>
      <c r="H15" s="473" t="e">
        <f>H12+H13+H14</f>
        <v>#REF!</v>
      </c>
      <c r="I15" s="11"/>
      <c r="J15" s="473" t="e">
        <f>J12+J13+J14</f>
        <v>#REF!</v>
      </c>
    </row>
    <row r="16" spans="1:5" ht="12.75">
      <c r="A16" s="17">
        <v>3184000</v>
      </c>
      <c r="B16" s="36"/>
      <c r="C16" s="36"/>
      <c r="D16" s="36"/>
      <c r="E16" s="36"/>
    </row>
    <row r="17" spans="1:10" ht="12.75">
      <c r="A17" s="17">
        <v>5500000</v>
      </c>
      <c r="B17" s="155"/>
      <c r="C17" s="156"/>
      <c r="D17" s="156"/>
      <c r="E17" s="156"/>
      <c r="F17" s="59"/>
      <c r="G17" s="872" t="s">
        <v>385</v>
      </c>
      <c r="H17" s="872"/>
      <c r="I17" s="872" t="s">
        <v>386</v>
      </c>
      <c r="J17" s="872"/>
    </row>
    <row r="18" spans="1:10" ht="12.75">
      <c r="A18" s="17">
        <v>4862500</v>
      </c>
      <c r="B18" s="34"/>
      <c r="C18" s="34"/>
      <c r="D18" s="34"/>
      <c r="E18" s="34"/>
      <c r="F18" s="17"/>
      <c r="G18" s="11"/>
      <c r="H18" s="38"/>
      <c r="I18" s="60"/>
      <c r="J18" s="38"/>
    </row>
    <row r="19" spans="1:10" ht="12.75">
      <c r="A19" s="17">
        <v>77691900</v>
      </c>
      <c r="B19" s="34"/>
      <c r="C19" s="34"/>
      <c r="D19" s="34"/>
      <c r="E19" s="34"/>
      <c r="F19" s="17"/>
      <c r="G19" s="11"/>
      <c r="H19" s="38"/>
      <c r="I19" s="60"/>
      <c r="J19" s="38"/>
    </row>
    <row r="20" spans="1:10" ht="12.75">
      <c r="A20" s="17">
        <v>86969000</v>
      </c>
      <c r="B20" s="34"/>
      <c r="C20" s="34"/>
      <c r="D20" s="34"/>
      <c r="E20" s="34"/>
      <c r="F20" s="17"/>
      <c r="G20" s="11"/>
      <c r="H20" s="38"/>
      <c r="I20" s="61"/>
      <c r="J20" s="38"/>
    </row>
    <row r="21" spans="1:10" ht="12.75">
      <c r="A21" s="17">
        <v>45983300</v>
      </c>
      <c r="B21" s="34"/>
      <c r="C21" s="34"/>
      <c r="D21" s="34"/>
      <c r="E21" s="34"/>
      <c r="F21" s="17"/>
      <c r="G21" s="11"/>
      <c r="H21" s="62"/>
      <c r="I21" s="11"/>
      <c r="J21" s="62"/>
    </row>
    <row r="22" spans="1:6" ht="12.75">
      <c r="A22" s="17">
        <v>21076500</v>
      </c>
      <c r="B22" s="157"/>
      <c r="C22" s="157"/>
      <c r="D22" s="158"/>
      <c r="E22" s="158"/>
      <c r="F22" s="58"/>
    </row>
    <row r="23" spans="1:6" ht="12.75">
      <c r="A23" s="17">
        <v>19266000</v>
      </c>
      <c r="B23" s="34"/>
      <c r="C23" s="34"/>
      <c r="D23" s="34"/>
      <c r="E23" s="34"/>
      <c r="F23" s="17"/>
    </row>
    <row r="24" spans="1:6" ht="12.75">
      <c r="A24" s="17">
        <v>28186015</v>
      </c>
      <c r="B24" s="34"/>
      <c r="C24" s="34"/>
      <c r="D24" s="34"/>
      <c r="E24" s="34"/>
      <c r="F24" s="17"/>
    </row>
    <row r="25" spans="1:6" ht="12.75">
      <c r="A25" s="17">
        <v>18618068</v>
      </c>
      <c r="B25" s="34"/>
      <c r="C25" s="34"/>
      <c r="D25" s="34"/>
      <c r="E25" s="34"/>
      <c r="F25" s="17"/>
    </row>
    <row r="26" spans="1:6" ht="12.75">
      <c r="A26" s="17">
        <v>5253000</v>
      </c>
      <c r="B26" s="34"/>
      <c r="C26" s="34"/>
      <c r="D26" s="34"/>
      <c r="E26" s="34"/>
      <c r="F26" s="17"/>
    </row>
    <row r="27" ht="12.75">
      <c r="A27" s="17">
        <v>2000000</v>
      </c>
    </row>
    <row r="28" spans="1:10" ht="12.75">
      <c r="A28" s="17">
        <v>19500000</v>
      </c>
      <c r="G28" s="859" t="s">
        <v>420</v>
      </c>
      <c r="H28" s="859"/>
      <c r="I28" s="859"/>
      <c r="J28" s="859"/>
    </row>
    <row r="29" spans="1:10" ht="12.75">
      <c r="A29" s="17">
        <v>74764500</v>
      </c>
      <c r="G29" s="40" t="s">
        <v>419</v>
      </c>
      <c r="H29" s="40" t="s">
        <v>417</v>
      </c>
      <c r="I29" s="40" t="s">
        <v>418</v>
      </c>
      <c r="J29" s="40" t="s">
        <v>421</v>
      </c>
    </row>
    <row r="30" spans="1:10" ht="12.75">
      <c r="A30" s="17">
        <v>6186000</v>
      </c>
      <c r="G30" s="11" t="s">
        <v>387</v>
      </c>
      <c r="H30" s="38" t="e">
        <f>fplan!#REF!</f>
        <v>#REF!</v>
      </c>
      <c r="I30" s="38">
        <v>0</v>
      </c>
      <c r="J30" s="38" t="e">
        <f>I30+H30</f>
        <v>#REF!</v>
      </c>
    </row>
    <row r="31" spans="1:10" ht="12.75">
      <c r="A31" s="17">
        <v>140488000</v>
      </c>
      <c r="G31" s="11" t="s">
        <v>388</v>
      </c>
      <c r="H31" s="38" t="e">
        <f>fplan!#REF!</f>
        <v>#REF!</v>
      </c>
      <c r="I31" s="38">
        <v>0</v>
      </c>
      <c r="J31" s="38" t="e">
        <f aca="true" t="shared" si="0" ref="J31:J62">I31+H31</f>
        <v>#REF!</v>
      </c>
    </row>
    <row r="32" spans="1:10" ht="12.75">
      <c r="A32" s="17">
        <v>19254000</v>
      </c>
      <c r="G32" s="11" t="s">
        <v>414</v>
      </c>
      <c r="H32" s="38" t="e">
        <f>fplan!#REF!</f>
        <v>#REF!</v>
      </c>
      <c r="I32" s="38">
        <v>0</v>
      </c>
      <c r="J32" s="38" t="e">
        <f t="shared" si="0"/>
        <v>#REF!</v>
      </c>
    </row>
    <row r="33" spans="1:10" ht="12.75">
      <c r="A33" s="17">
        <v>3439000</v>
      </c>
      <c r="G33" s="11" t="s">
        <v>389</v>
      </c>
      <c r="H33" s="163" t="e">
        <f>fplan!#REF!</f>
        <v>#REF!</v>
      </c>
      <c r="I33" s="63">
        <v>0</v>
      </c>
      <c r="J33" s="38" t="e">
        <f t="shared" si="0"/>
        <v>#REF!</v>
      </c>
    </row>
    <row r="34" spans="1:10" ht="12.75">
      <c r="A34" s="17">
        <v>256124000</v>
      </c>
      <c r="G34" s="11" t="s">
        <v>390</v>
      </c>
      <c r="H34" s="163" t="e">
        <f>fplan!#REF!</f>
        <v>#REF!</v>
      </c>
      <c r="I34" s="63">
        <v>0</v>
      </c>
      <c r="J34" s="38" t="e">
        <f t="shared" si="0"/>
        <v>#REF!</v>
      </c>
    </row>
    <row r="35" spans="1:10" ht="13.5" thickBot="1">
      <c r="A35" s="160">
        <v>33436000</v>
      </c>
      <c r="G35" s="11" t="s">
        <v>391</v>
      </c>
      <c r="H35" s="163" t="e">
        <f>fplan!#REF!</f>
        <v>#REF!</v>
      </c>
      <c r="I35" s="63">
        <v>0</v>
      </c>
      <c r="J35" s="38" t="e">
        <f t="shared" si="0"/>
        <v>#REF!</v>
      </c>
    </row>
    <row r="36" spans="1:10" ht="13.5" thickTop="1">
      <c r="A36" s="17">
        <f>SUM(A2:A35)</f>
        <v>1257635799</v>
      </c>
      <c r="E36" s="17"/>
      <c r="F36" s="17"/>
      <c r="G36" s="11" t="s">
        <v>392</v>
      </c>
      <c r="H36" s="163" t="e">
        <f>fplan!#REF!</f>
        <v>#REF!</v>
      </c>
      <c r="I36" s="63">
        <v>0</v>
      </c>
      <c r="J36" s="38" t="e">
        <f t="shared" si="0"/>
        <v>#REF!</v>
      </c>
    </row>
    <row r="37" spans="5:10" ht="12.75">
      <c r="E37" s="17"/>
      <c r="F37" s="17"/>
      <c r="G37" s="11" t="s">
        <v>393</v>
      </c>
      <c r="H37" s="163" t="e">
        <f>fplan!#REF!</f>
        <v>#REF!</v>
      </c>
      <c r="I37" s="63">
        <v>0</v>
      </c>
      <c r="J37" s="38" t="e">
        <f t="shared" si="0"/>
        <v>#REF!</v>
      </c>
    </row>
    <row r="38" spans="7:10" ht="12.75">
      <c r="G38" s="11" t="s">
        <v>378</v>
      </c>
      <c r="H38" s="163" t="e">
        <f>fplan!#REF!</f>
        <v>#REF!</v>
      </c>
      <c r="I38" s="63" t="e">
        <f>fplan!#REF!</f>
        <v>#REF!</v>
      </c>
      <c r="J38" s="38" t="e">
        <f t="shared" si="0"/>
        <v>#REF!</v>
      </c>
    </row>
    <row r="39" spans="7:10" ht="12.75">
      <c r="G39" s="11" t="s">
        <v>394</v>
      </c>
      <c r="H39" s="163">
        <f>fplan!K318</f>
        <v>86144</v>
      </c>
      <c r="I39" s="63"/>
      <c r="J39" s="38">
        <f t="shared" si="0"/>
        <v>86144</v>
      </c>
    </row>
    <row r="40" spans="7:10" ht="12.75">
      <c r="G40" s="11" t="s">
        <v>395</v>
      </c>
      <c r="H40" s="163" t="e">
        <f>fplan!#REF!</f>
        <v>#REF!</v>
      </c>
      <c r="I40" s="63"/>
      <c r="J40" s="38" t="e">
        <f t="shared" si="0"/>
        <v>#REF!</v>
      </c>
    </row>
    <row r="41" spans="7:10" ht="12.75">
      <c r="G41" s="11" t="s">
        <v>377</v>
      </c>
      <c r="H41" s="163" t="e">
        <f>fplan!#REF!</f>
        <v>#REF!</v>
      </c>
      <c r="I41" s="63"/>
      <c r="J41" s="38" t="e">
        <f t="shared" si="0"/>
        <v>#REF!</v>
      </c>
    </row>
    <row r="42" spans="7:10" ht="12.75">
      <c r="G42" s="11" t="s">
        <v>396</v>
      </c>
      <c r="H42" s="163" t="e">
        <f>fplan!#REF!</f>
        <v>#REF!</v>
      </c>
      <c r="I42" s="63"/>
      <c r="J42" s="38" t="e">
        <f t="shared" si="0"/>
        <v>#REF!</v>
      </c>
    </row>
    <row r="43" spans="7:10" ht="12.75">
      <c r="G43" s="11" t="s">
        <v>397</v>
      </c>
      <c r="H43" s="163" t="e">
        <f>fplan!#REF!</f>
        <v>#REF!</v>
      </c>
      <c r="I43" s="63"/>
      <c r="J43" s="38" t="e">
        <f t="shared" si="0"/>
        <v>#REF!</v>
      </c>
    </row>
    <row r="44" spans="7:10" ht="12.75">
      <c r="G44" s="11" t="s">
        <v>415</v>
      </c>
      <c r="H44" s="163" t="e">
        <f>fplan!#REF!</f>
        <v>#REF!</v>
      </c>
      <c r="I44" s="63"/>
      <c r="J44" s="38" t="e">
        <f t="shared" si="0"/>
        <v>#REF!</v>
      </c>
    </row>
    <row r="45" spans="7:10" ht="12.75">
      <c r="G45" s="11" t="s">
        <v>398</v>
      </c>
      <c r="H45" s="163" t="e">
        <f>fplan!#REF!</f>
        <v>#REF!</v>
      </c>
      <c r="I45" s="63"/>
      <c r="J45" s="38" t="e">
        <f t="shared" si="0"/>
        <v>#REF!</v>
      </c>
    </row>
    <row r="46" spans="7:10" ht="12.75">
      <c r="G46" s="11" t="s">
        <v>399</v>
      </c>
      <c r="H46" s="163" t="e">
        <f>fplan!#REF!</f>
        <v>#REF!</v>
      </c>
      <c r="I46" s="63" t="e">
        <f>fplan!#REF!</f>
        <v>#REF!</v>
      </c>
      <c r="J46" s="38" t="e">
        <f t="shared" si="0"/>
        <v>#REF!</v>
      </c>
    </row>
    <row r="47" spans="7:11" ht="12.75">
      <c r="G47" s="11" t="s">
        <v>400</v>
      </c>
      <c r="H47" s="163">
        <f>fplan!K559</f>
        <v>8527079.149999999</v>
      </c>
      <c r="I47" s="63" t="e">
        <f>fplan!#REF!</f>
        <v>#REF!</v>
      </c>
      <c r="J47" s="38" t="e">
        <f t="shared" si="0"/>
        <v>#REF!</v>
      </c>
      <c r="K47" s="17">
        <f>H47+H48+H49+H50</f>
        <v>36296779.37</v>
      </c>
    </row>
    <row r="48" spans="7:10" ht="12.75">
      <c r="G48" s="11" t="s">
        <v>401</v>
      </c>
      <c r="H48" s="163">
        <f>fplan!K656</f>
        <v>8262022.359999999</v>
      </c>
      <c r="I48" s="63" t="e">
        <f>fplan!#REF!</f>
        <v>#REF!</v>
      </c>
      <c r="J48" s="38" t="e">
        <f t="shared" si="0"/>
        <v>#REF!</v>
      </c>
    </row>
    <row r="49" spans="7:10" ht="12.75">
      <c r="G49" s="11" t="s">
        <v>402</v>
      </c>
      <c r="H49" s="163">
        <f>fplan!K730</f>
        <v>12235868.569999998</v>
      </c>
      <c r="I49" s="63" t="e">
        <f>fplan!#REF!</f>
        <v>#REF!</v>
      </c>
      <c r="J49" s="38" t="e">
        <f t="shared" si="0"/>
        <v>#REF!</v>
      </c>
    </row>
    <row r="50" spans="7:10" ht="12.75">
      <c r="G50" s="11" t="s">
        <v>403</v>
      </c>
      <c r="H50" s="163">
        <f>fplan!K778</f>
        <v>7271809.290000001</v>
      </c>
      <c r="I50" s="63" t="e">
        <f>fplan!#REF!</f>
        <v>#REF!</v>
      </c>
      <c r="J50" s="38" t="e">
        <f t="shared" si="0"/>
        <v>#REF!</v>
      </c>
    </row>
    <row r="51" spans="7:11" ht="12.75">
      <c r="G51" s="11" t="s">
        <v>376</v>
      </c>
      <c r="H51" s="163">
        <f>fplan!K799</f>
        <v>1984065.26</v>
      </c>
      <c r="I51" s="63" t="e">
        <f>fplan!#REF!</f>
        <v>#REF!</v>
      </c>
      <c r="J51" s="38" t="e">
        <f t="shared" si="0"/>
        <v>#REF!</v>
      </c>
      <c r="K51" s="17">
        <f>H51+H52</f>
        <v>54837380.62</v>
      </c>
    </row>
    <row r="52" spans="7:10" ht="13.5" thickBot="1">
      <c r="G52" s="11" t="s">
        <v>404</v>
      </c>
      <c r="H52" s="163">
        <f>fplan!K910</f>
        <v>52853315.36</v>
      </c>
      <c r="I52" s="63" t="e">
        <f>fplan!#REF!</f>
        <v>#REF!</v>
      </c>
      <c r="J52" s="38" t="e">
        <f t="shared" si="0"/>
        <v>#REF!</v>
      </c>
    </row>
    <row r="53" spans="1:10" ht="21" customHeight="1" thickTop="1">
      <c r="A53" s="870" t="s">
        <v>436</v>
      </c>
      <c r="B53" s="871"/>
      <c r="C53" s="871"/>
      <c r="D53" s="67" t="s">
        <v>437</v>
      </c>
      <c r="E53" s="72"/>
      <c r="G53" s="11" t="s">
        <v>375</v>
      </c>
      <c r="H53" s="163">
        <f>fplan!K922</f>
        <v>70645207.91</v>
      </c>
      <c r="I53" s="63"/>
      <c r="J53" s="38">
        <f t="shared" si="0"/>
        <v>70645207.91</v>
      </c>
    </row>
    <row r="54" spans="1:10" ht="28.5" customHeight="1">
      <c r="A54" s="868" t="s">
        <v>438</v>
      </c>
      <c r="B54" s="869"/>
      <c r="C54" s="869"/>
      <c r="D54" s="69" t="e">
        <f>#REF!+#REF!+#REF!</f>
        <v>#REF!</v>
      </c>
      <c r="E54" s="58"/>
      <c r="G54" s="11" t="s">
        <v>405</v>
      </c>
      <c r="H54" s="163">
        <f>fplan!K936</f>
        <v>7196391.09</v>
      </c>
      <c r="I54" s="63"/>
      <c r="J54" s="38">
        <f t="shared" si="0"/>
        <v>7196391.09</v>
      </c>
    </row>
    <row r="55" spans="1:11" ht="27.75" customHeight="1">
      <c r="A55" s="861" t="s">
        <v>439</v>
      </c>
      <c r="B55" s="862"/>
      <c r="C55" s="862"/>
      <c r="D55" s="70" t="e">
        <f>Rashodi!#REF!+Rashodi!#REF!</f>
        <v>#REF!</v>
      </c>
      <c r="E55" s="73"/>
      <c r="G55" s="11" t="s">
        <v>406</v>
      </c>
      <c r="H55" s="163" t="e">
        <f>fplan!#REF!</f>
        <v>#REF!</v>
      </c>
      <c r="I55" s="63" t="e">
        <f>fplan!#REF!</f>
        <v>#REF!</v>
      </c>
      <c r="J55" s="38" t="e">
        <f t="shared" si="0"/>
        <v>#REF!</v>
      </c>
      <c r="K55" s="17" t="e">
        <f>H55+H56</f>
        <v>#REF!</v>
      </c>
    </row>
    <row r="56" spans="1:10" ht="21" customHeight="1">
      <c r="A56" s="857" t="s">
        <v>440</v>
      </c>
      <c r="B56" s="858"/>
      <c r="C56" s="858"/>
      <c r="D56" s="70" t="e">
        <f>D54-D55</f>
        <v>#REF!</v>
      </c>
      <c r="E56" s="73"/>
      <c r="G56" s="11" t="s">
        <v>407</v>
      </c>
      <c r="H56" s="163">
        <f>fplan!K963</f>
        <v>0</v>
      </c>
      <c r="I56" s="63"/>
      <c r="J56" s="38">
        <f t="shared" si="0"/>
        <v>0</v>
      </c>
    </row>
    <row r="57" spans="1:10" ht="25.5" customHeight="1">
      <c r="A57" s="861" t="s">
        <v>514</v>
      </c>
      <c r="B57" s="862"/>
      <c r="C57" s="862"/>
      <c r="D57" s="68"/>
      <c r="E57" s="56"/>
      <c r="G57" s="11" t="s">
        <v>408</v>
      </c>
      <c r="H57" s="163" t="e">
        <f>fplan!#REF!</f>
        <v>#REF!</v>
      </c>
      <c r="I57" s="63" t="e">
        <f>fplan!#REF!</f>
        <v>#REF!</v>
      </c>
      <c r="J57" s="38" t="e">
        <f t="shared" si="0"/>
        <v>#REF!</v>
      </c>
    </row>
    <row r="58" spans="1:10" ht="21" customHeight="1">
      <c r="A58" s="857" t="s">
        <v>515</v>
      </c>
      <c r="B58" s="858"/>
      <c r="C58" s="858"/>
      <c r="D58" s="69" t="e">
        <f>D56</f>
        <v>#REF!</v>
      </c>
      <c r="E58" s="58"/>
      <c r="G58" s="11" t="s">
        <v>409</v>
      </c>
      <c r="H58" s="163">
        <f>fplan!K975</f>
        <v>2749954.38</v>
      </c>
      <c r="I58" s="63"/>
      <c r="J58" s="38">
        <f t="shared" si="0"/>
        <v>2749954.38</v>
      </c>
    </row>
    <row r="59" spans="1:10" ht="25.5" customHeight="1">
      <c r="A59" s="855" t="s">
        <v>516</v>
      </c>
      <c r="B59" s="856"/>
      <c r="C59" s="856"/>
      <c r="D59" s="68"/>
      <c r="E59" s="56"/>
      <c r="G59" s="11" t="s">
        <v>410</v>
      </c>
      <c r="H59" s="163" t="e">
        <f>fplan!#REF!</f>
        <v>#REF!</v>
      </c>
      <c r="I59" s="63"/>
      <c r="J59" s="38" t="e">
        <f t="shared" si="0"/>
        <v>#REF!</v>
      </c>
    </row>
    <row r="60" spans="1:11" ht="21" customHeight="1">
      <c r="A60" s="857" t="s">
        <v>517</v>
      </c>
      <c r="B60" s="858"/>
      <c r="C60" s="858"/>
      <c r="D60" s="75" t="e">
        <f>-D58+D62-D61</f>
        <v>#REF!</v>
      </c>
      <c r="E60" s="167"/>
      <c r="F60" s="168"/>
      <c r="G60" s="11" t="s">
        <v>411</v>
      </c>
      <c r="H60" s="163" t="e">
        <f>fplan!#REF!</f>
        <v>#REF!</v>
      </c>
      <c r="I60" s="63"/>
      <c r="J60" s="38" t="e">
        <f t="shared" si="0"/>
        <v>#REF!</v>
      </c>
      <c r="K60" s="17" t="e">
        <f>H60+H61+H62</f>
        <v>#REF!</v>
      </c>
    </row>
    <row r="61" spans="1:10" ht="19.5" customHeight="1">
      <c r="A61" s="863" t="s">
        <v>518</v>
      </c>
      <c r="B61" s="864"/>
      <c r="C61" s="865"/>
      <c r="D61" s="69" t="e">
        <f>#REF!</f>
        <v>#REF!</v>
      </c>
      <c r="E61" s="58"/>
      <c r="G61" s="11" t="s">
        <v>412</v>
      </c>
      <c r="H61" s="163" t="e">
        <f>fplan!#REF!</f>
        <v>#REF!</v>
      </c>
      <c r="I61" s="63" t="e">
        <f>fplan!#REF!</f>
        <v>#REF!</v>
      </c>
      <c r="J61" s="38" t="e">
        <f t="shared" si="0"/>
        <v>#REF!</v>
      </c>
    </row>
    <row r="62" spans="1:10" ht="24.75" customHeight="1">
      <c r="A62" s="861" t="s">
        <v>519</v>
      </c>
      <c r="B62" s="862"/>
      <c r="C62" s="862"/>
      <c r="D62" s="69">
        <f>Rashodi!F48</f>
        <v>17552357.92</v>
      </c>
      <c r="E62" s="58"/>
      <c r="G62" s="11" t="s">
        <v>416</v>
      </c>
      <c r="H62" s="163">
        <f>fplan!K990</f>
        <v>0</v>
      </c>
      <c r="I62" s="63"/>
      <c r="J62" s="38">
        <f t="shared" si="0"/>
        <v>0</v>
      </c>
    </row>
    <row r="63" spans="1:10" ht="17.25" customHeight="1" thickBot="1">
      <c r="A63" s="866" t="s">
        <v>520</v>
      </c>
      <c r="B63" s="867"/>
      <c r="C63" s="867"/>
      <c r="D63" s="71" t="e">
        <f>-D58</f>
        <v>#REF!</v>
      </c>
      <c r="E63" s="58"/>
      <c r="G63" s="64"/>
      <c r="H63" s="164"/>
      <c r="I63" s="62"/>
      <c r="J63" s="62">
        <f>I63+H63</f>
        <v>0</v>
      </c>
    </row>
    <row r="64" spans="1:10" ht="17.25" customHeight="1" thickTop="1">
      <c r="A64" s="161"/>
      <c r="B64" s="161"/>
      <c r="C64" s="161"/>
      <c r="D64" s="58"/>
      <c r="E64" s="58"/>
      <c r="G64" s="64" t="s">
        <v>819</v>
      </c>
      <c r="H64" s="165">
        <f>fplan!K1001</f>
        <v>6251087.2</v>
      </c>
      <c r="I64" s="162"/>
      <c r="J64" s="162">
        <f>H64</f>
        <v>6251087.2</v>
      </c>
    </row>
    <row r="65" spans="1:10" ht="17.25" customHeight="1">
      <c r="A65" s="161"/>
      <c r="B65" s="161"/>
      <c r="C65" s="161"/>
      <c r="D65" s="58"/>
      <c r="E65" s="58"/>
      <c r="G65" s="64" t="s">
        <v>820</v>
      </c>
      <c r="H65" s="165">
        <f>fplan!K1014</f>
        <v>1843136.64</v>
      </c>
      <c r="I65" s="162"/>
      <c r="J65" s="162">
        <f>H65</f>
        <v>1843136.64</v>
      </c>
    </row>
    <row r="66" spans="1:10" ht="17.25" customHeight="1">
      <c r="A66" s="161"/>
      <c r="B66" s="161"/>
      <c r="C66" s="161"/>
      <c r="D66" s="58"/>
      <c r="E66" s="58"/>
      <c r="G66" s="64" t="s">
        <v>821</v>
      </c>
      <c r="H66" s="162" t="e">
        <f>SUM(H33:H65)</f>
        <v>#REF!</v>
      </c>
      <c r="I66" s="162" t="e">
        <f>I38+I46+I47+I49+I48+I50+I51+I52+I55+I57+I61</f>
        <v>#REF!</v>
      </c>
      <c r="J66" s="162" t="e">
        <f>SUM(J33:J65)</f>
        <v>#REF!</v>
      </c>
    </row>
    <row r="67" spans="7:10" ht="13.5" thickBot="1">
      <c r="G67" s="11" t="s">
        <v>413</v>
      </c>
      <c r="H67" s="66">
        <f>fplan!K150</f>
        <v>1363531.08</v>
      </c>
      <c r="I67" s="66"/>
      <c r="J67" s="66">
        <f>I67+H67</f>
        <v>1363531.08</v>
      </c>
    </row>
    <row r="68" spans="7:10" ht="13.5" thickTop="1">
      <c r="G68" s="64" t="s">
        <v>422</v>
      </c>
      <c r="H68" s="65" t="e">
        <f>H66+H67+H30+H31+H32</f>
        <v>#REF!</v>
      </c>
      <c r="I68" s="65" t="e">
        <f>I67+I66+I30+I31+I32</f>
        <v>#REF!</v>
      </c>
      <c r="J68" s="65" t="e">
        <f>J67+J66+J30+J31+J32</f>
        <v>#REF!</v>
      </c>
    </row>
    <row r="69" ht="12.75">
      <c r="J69" s="17"/>
    </row>
    <row r="72" spans="1:4" ht="31.5" customHeight="1" thickBot="1">
      <c r="A72" s="860"/>
      <c r="B72" s="860"/>
      <c r="C72" s="860"/>
      <c r="D72" s="860"/>
    </row>
    <row r="73" spans="1:4" ht="12.75" hidden="1">
      <c r="A73" s="323"/>
      <c r="B73" s="323"/>
      <c r="C73" s="323"/>
      <c r="D73" s="323"/>
    </row>
    <row r="74" spans="1:4" ht="52.5" customHeight="1" thickBot="1" thickTop="1">
      <c r="A74" s="326" t="s">
        <v>424</v>
      </c>
      <c r="B74" s="327" t="s">
        <v>425</v>
      </c>
      <c r="C74" s="328" t="s">
        <v>426</v>
      </c>
      <c r="D74" s="158"/>
    </row>
    <row r="75" spans="1:4" ht="13.5" thickTop="1">
      <c r="A75" s="330" t="s">
        <v>427</v>
      </c>
      <c r="B75" s="334">
        <v>183</v>
      </c>
      <c r="C75" s="335">
        <v>3</v>
      </c>
      <c r="D75" s="158"/>
    </row>
    <row r="76" spans="1:4" ht="12.75">
      <c r="A76" s="331" t="s">
        <v>428</v>
      </c>
      <c r="B76" s="336">
        <v>29</v>
      </c>
      <c r="C76" s="337"/>
      <c r="D76" s="158"/>
    </row>
    <row r="77" spans="1:4" ht="12.75">
      <c r="A77" s="331" t="s">
        <v>429</v>
      </c>
      <c r="B77" s="336">
        <v>9</v>
      </c>
      <c r="C77" s="337"/>
      <c r="D77" s="158"/>
    </row>
    <row r="78" spans="1:4" ht="12.75">
      <c r="A78" s="331" t="s">
        <v>430</v>
      </c>
      <c r="B78" s="336">
        <v>20</v>
      </c>
      <c r="C78" s="337">
        <v>2</v>
      </c>
      <c r="D78" s="158"/>
    </row>
    <row r="79" spans="1:4" ht="12.75">
      <c r="A79" s="331" t="s">
        <v>431</v>
      </c>
      <c r="B79" s="336">
        <v>23</v>
      </c>
      <c r="C79" s="337"/>
      <c r="D79" s="158"/>
    </row>
    <row r="80" spans="1:4" ht="12.75">
      <c r="A80" s="331" t="s">
        <v>432</v>
      </c>
      <c r="B80" s="336">
        <v>21</v>
      </c>
      <c r="C80" s="337">
        <v>1</v>
      </c>
      <c r="D80" s="158"/>
    </row>
    <row r="81" spans="1:4" ht="12.75">
      <c r="A81" s="331" t="s">
        <v>433</v>
      </c>
      <c r="B81" s="336">
        <v>30</v>
      </c>
      <c r="C81" s="337">
        <v>1</v>
      </c>
      <c r="D81" s="158"/>
    </row>
    <row r="82" spans="1:4" ht="12.75">
      <c r="A82" s="332" t="s">
        <v>435</v>
      </c>
      <c r="B82" s="338">
        <v>75</v>
      </c>
      <c r="C82" s="339">
        <v>8</v>
      </c>
      <c r="D82" s="158"/>
    </row>
    <row r="83" spans="1:4" ht="13.5" thickBot="1">
      <c r="A83" s="333" t="s">
        <v>434</v>
      </c>
      <c r="B83" s="340">
        <v>12</v>
      </c>
      <c r="C83" s="341"/>
      <c r="D83" s="158"/>
    </row>
    <row r="84" spans="1:4" ht="14.25" thickBot="1" thickTop="1">
      <c r="A84" s="329" t="s">
        <v>422</v>
      </c>
      <c r="B84" s="342">
        <f>B75+B76+B77+B78+B79+B80+B81+B82+B83</f>
        <v>402</v>
      </c>
      <c r="C84" s="343">
        <f>C75+C76+C77+C78+C79+C80+C81+C82+C83</f>
        <v>15</v>
      </c>
      <c r="D84" s="158"/>
    </row>
    <row r="85" spans="1:4" ht="13.5" thickTop="1">
      <c r="A85" s="853"/>
      <c r="B85" s="853"/>
      <c r="C85" s="853"/>
      <c r="D85" s="158"/>
    </row>
    <row r="86" spans="1:4" ht="12.75">
      <c r="A86" s="854"/>
      <c r="B86" s="854"/>
      <c r="C86" s="854"/>
      <c r="D86" s="158"/>
    </row>
    <row r="87" spans="1:4" ht="12.75">
      <c r="A87" s="854"/>
      <c r="B87" s="854"/>
      <c r="C87" s="854"/>
      <c r="D87" s="158"/>
    </row>
    <row r="88" spans="1:4" ht="12.75">
      <c r="A88" s="57"/>
      <c r="B88" s="158"/>
      <c r="C88" s="158"/>
      <c r="D88" s="158"/>
    </row>
    <row r="89" spans="1:4" ht="12.75">
      <c r="A89" s="57"/>
      <c r="B89" s="158"/>
      <c r="C89" s="158"/>
      <c r="D89" s="158"/>
    </row>
    <row r="90" spans="1:4" ht="12.75">
      <c r="A90" s="57"/>
      <c r="B90" s="158"/>
      <c r="C90" s="158"/>
      <c r="D90" s="158"/>
    </row>
    <row r="91" spans="1:4" ht="12.75">
      <c r="A91" s="57"/>
      <c r="B91" s="158"/>
      <c r="C91" s="158"/>
      <c r="D91" s="158"/>
    </row>
    <row r="92" spans="1:4" ht="12.75">
      <c r="A92" s="57"/>
      <c r="B92" s="158"/>
      <c r="C92" s="158"/>
      <c r="D92" s="158"/>
    </row>
    <row r="93" spans="1:4" ht="12.75">
      <c r="A93" s="57"/>
      <c r="B93" s="158"/>
      <c r="C93" s="158"/>
      <c r="D93" s="158"/>
    </row>
    <row r="94" spans="1:4" ht="12.75">
      <c r="A94" s="57"/>
      <c r="B94" s="158"/>
      <c r="C94" s="158"/>
      <c r="D94" s="158"/>
    </row>
    <row r="95" spans="1:4" ht="12.75">
      <c r="A95" s="57"/>
      <c r="B95" s="158"/>
      <c r="C95" s="158"/>
      <c r="D95" s="158"/>
    </row>
    <row r="96" spans="1:4" ht="12.75">
      <c r="A96" s="57"/>
      <c r="B96" s="158"/>
      <c r="C96" s="158"/>
      <c r="D96" s="158"/>
    </row>
    <row r="97" spans="1:4" ht="12.75">
      <c r="A97" s="57"/>
      <c r="B97" s="158"/>
      <c r="C97" s="158"/>
      <c r="D97" s="158"/>
    </row>
    <row r="98" spans="1:4" ht="12.75">
      <c r="A98" s="57"/>
      <c r="B98" s="158"/>
      <c r="C98" s="158"/>
      <c r="D98" s="158"/>
    </row>
    <row r="99" spans="1:4" ht="12.75">
      <c r="A99" s="57"/>
      <c r="B99" s="158"/>
      <c r="C99" s="158"/>
      <c r="D99" s="158"/>
    </row>
    <row r="100" spans="1:4" ht="12.75">
      <c r="A100" s="57"/>
      <c r="B100" s="158"/>
      <c r="C100" s="158"/>
      <c r="D100" s="158"/>
    </row>
    <row r="101" spans="1:4" ht="12.75">
      <c r="A101" s="57"/>
      <c r="B101" s="158"/>
      <c r="C101" s="158"/>
      <c r="D101" s="158"/>
    </row>
    <row r="102" spans="1:4" ht="12.75">
      <c r="A102" s="57"/>
      <c r="B102" s="158"/>
      <c r="C102" s="158"/>
      <c r="D102" s="158"/>
    </row>
    <row r="103" spans="1:4" ht="12.75">
      <c r="A103" s="57"/>
      <c r="B103" s="158"/>
      <c r="C103" s="158"/>
      <c r="D103" s="158"/>
    </row>
    <row r="104" spans="1:4" ht="12.75">
      <c r="A104" s="57"/>
      <c r="B104" s="158"/>
      <c r="C104" s="158"/>
      <c r="D104" s="158"/>
    </row>
    <row r="105" spans="1:4" ht="12.75">
      <c r="A105" s="57"/>
      <c r="B105" s="158"/>
      <c r="C105" s="158"/>
      <c r="D105" s="158"/>
    </row>
    <row r="106" spans="1:4" ht="12.75">
      <c r="A106" s="57"/>
      <c r="B106" s="158"/>
      <c r="C106" s="158"/>
      <c r="D106" s="158"/>
    </row>
    <row r="107" spans="1:4" ht="12.75">
      <c r="A107" s="324"/>
      <c r="B107" s="325"/>
      <c r="C107" s="325"/>
      <c r="D107" s="325"/>
    </row>
    <row r="108" spans="1:4" ht="12.75">
      <c r="A108" s="324"/>
      <c r="B108" s="325"/>
      <c r="C108" s="325"/>
      <c r="D108" s="325"/>
    </row>
    <row r="109" spans="1:4" ht="12.75">
      <c r="A109" s="324"/>
      <c r="B109" s="325"/>
      <c r="C109" s="325"/>
      <c r="D109" s="325"/>
    </row>
    <row r="110" spans="1:4" ht="12.75">
      <c r="A110" s="324"/>
      <c r="B110" s="325"/>
      <c r="C110" s="325"/>
      <c r="D110" s="325"/>
    </row>
    <row r="111" spans="1:4" ht="12.75">
      <c r="A111" s="57"/>
      <c r="B111" s="158"/>
      <c r="C111" s="158"/>
      <c r="D111" s="158"/>
    </row>
    <row r="112" spans="1:4" ht="12.75">
      <c r="A112" s="324"/>
      <c r="B112" s="325"/>
      <c r="C112" s="325"/>
      <c r="D112" s="325"/>
    </row>
    <row r="113" spans="1:4" ht="12.75">
      <c r="A113" s="57"/>
      <c r="B113" s="57"/>
      <c r="C113" s="57"/>
      <c r="D113" s="158"/>
    </row>
    <row r="114" spans="1:4" ht="12.75">
      <c r="A114" s="57"/>
      <c r="B114" s="57"/>
      <c r="C114" s="57"/>
      <c r="D114" s="57"/>
    </row>
  </sheetData>
  <sheetProtection/>
  <mergeCells count="18">
    <mergeCell ref="A63:C63"/>
    <mergeCell ref="A58:C58"/>
    <mergeCell ref="I11:J11"/>
    <mergeCell ref="G28:J28"/>
    <mergeCell ref="A54:C54"/>
    <mergeCell ref="A53:C53"/>
    <mergeCell ref="G17:H17"/>
    <mergeCell ref="I17:J17"/>
    <mergeCell ref="A85:C87"/>
    <mergeCell ref="A59:C59"/>
    <mergeCell ref="A60:C60"/>
    <mergeCell ref="G11:H11"/>
    <mergeCell ref="A72:D72"/>
    <mergeCell ref="A55:C55"/>
    <mergeCell ref="A57:C57"/>
    <mergeCell ref="A56:C56"/>
    <mergeCell ref="A61:C61"/>
    <mergeCell ref="A62:C62"/>
  </mergeCells>
  <printOptions/>
  <pageMargins left="0.75" right="0.75" top="1" bottom="1" header="0.5" footer="0.5"/>
  <pageSetup horizontalDpi="600" verticalDpi="600" orientation="landscape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SLGRP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DAI</dc:creator>
  <cp:keywords/>
  <dc:description/>
  <cp:lastModifiedBy>ndjordjevi</cp:lastModifiedBy>
  <cp:lastPrinted>2016-07-13T07:05:42Z</cp:lastPrinted>
  <dcterms:created xsi:type="dcterms:W3CDTF">2004-04-30T09:54:28Z</dcterms:created>
  <dcterms:modified xsi:type="dcterms:W3CDTF">2017-01-05T08:27:03Z</dcterms:modified>
  <cp:category/>
  <cp:version/>
  <cp:contentType/>
  <cp:contentStatus/>
</cp:coreProperties>
</file>